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danbo\Downloads\"/>
    </mc:Choice>
  </mc:AlternateContent>
  <xr:revisionPtr revIDLastSave="0" documentId="13_ncr:1_{2016800A-240E-4310-9E74-FC67EE37377B}" xr6:coauthVersionLast="47" xr6:coauthVersionMax="47" xr10:uidLastSave="{00000000-0000-0000-0000-000000000000}"/>
  <bookViews>
    <workbookView xWindow="-28920" yWindow="-120" windowWidth="29040" windowHeight="15720" xr2:uid="{00000000-000D-0000-FFFF-FFFF00000000}"/>
  </bookViews>
  <sheets>
    <sheet name="Oversigt parter" sheetId="1" r:id="rId1"/>
    <sheet name="Zoom to ejendom" sheetId="2" r:id="rId2"/>
    <sheet name="Find BFE-nummer" sheetId="3" r:id="rId3"/>
  </sheets>
  <definedNames>
    <definedName name="_xlnm._FilterDatabase" localSheetId="2" hidden="1">'Find BFE-nummer'!$A$2:$A$3281</definedName>
    <definedName name="_xlnm.Print_Titles" localSheetId="0">'Oversigt parter'!$1:$4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 l="1" a="1"/>
  <c r="B3" i="3" s="1"/>
  <c r="A3" i="3" a="1"/>
  <c r="A3" i="3" s="1"/>
  <c r="A7" i="2" a="1"/>
  <c r="A7" i="2" s="1"/>
  <c r="F2" i="2"/>
  <c r="A1" i="2"/>
  <c r="Q3285" i="1"/>
  <c r="P3285" i="1"/>
  <c r="O3285" i="1"/>
  <c r="N3285" i="1"/>
  <c r="M3285" i="1"/>
  <c r="L3285" i="1"/>
  <c r="K3285" i="1"/>
  <c r="J3285" i="1"/>
  <c r="I3285" i="1"/>
  <c r="H3285" i="1"/>
  <c r="G3285" i="1"/>
  <c r="E3285" i="1"/>
  <c r="E3290" i="1" s="1"/>
  <c r="C3283" i="1"/>
  <c r="C3282" i="1"/>
  <c r="C3281" i="1"/>
  <c r="C3280" i="1"/>
  <c r="C3279" i="1"/>
  <c r="C3278" i="1"/>
  <c r="C3277" i="1"/>
  <c r="C3276" i="1"/>
  <c r="C3275" i="1"/>
  <c r="C3274" i="1"/>
  <c r="C3273" i="1"/>
  <c r="C3272" i="1"/>
  <c r="C3271" i="1"/>
  <c r="C3270" i="1"/>
  <c r="C3269" i="1"/>
  <c r="C3268" i="1"/>
  <c r="C3267" i="1"/>
  <c r="C3266" i="1"/>
  <c r="C3265" i="1"/>
  <c r="C3264" i="1"/>
  <c r="C3263" i="1"/>
  <c r="C3262" i="1"/>
  <c r="C3261" i="1"/>
  <c r="C3260" i="1"/>
  <c r="C3259" i="1"/>
  <c r="C3258" i="1"/>
  <c r="C3257" i="1"/>
  <c r="C3256" i="1"/>
  <c r="C3255" i="1"/>
  <c r="C3254" i="1"/>
  <c r="C3253" i="1"/>
  <c r="C3252" i="1"/>
  <c r="C3251" i="1"/>
  <c r="C3250" i="1"/>
  <c r="C3249" i="1"/>
  <c r="C3248" i="1"/>
  <c r="C3247" i="1"/>
  <c r="C3246" i="1"/>
  <c r="C3245" i="1"/>
  <c r="C3244" i="1"/>
  <c r="C3243" i="1"/>
  <c r="C3242" i="1"/>
  <c r="C3241" i="1"/>
  <c r="C3240" i="1"/>
  <c r="C3239" i="1"/>
  <c r="C3238" i="1"/>
  <c r="C3237" i="1"/>
  <c r="C3236" i="1"/>
  <c r="C3235" i="1"/>
  <c r="C3234" i="1"/>
  <c r="C3233" i="1"/>
  <c r="C3232" i="1"/>
  <c r="C3231" i="1"/>
  <c r="C3230" i="1"/>
  <c r="C3229" i="1"/>
  <c r="C3228" i="1"/>
  <c r="C3227" i="1"/>
  <c r="C3226" i="1"/>
  <c r="C3225" i="1"/>
  <c r="C3224" i="1"/>
  <c r="C3223" i="1"/>
  <c r="C3222" i="1"/>
  <c r="C3221" i="1"/>
  <c r="C3220" i="1"/>
  <c r="C3219" i="1"/>
  <c r="C3218" i="1"/>
  <c r="C3217" i="1"/>
  <c r="C3216" i="1"/>
  <c r="C3215" i="1"/>
  <c r="C3214" i="1"/>
  <c r="C3213" i="1"/>
  <c r="C3212" i="1"/>
  <c r="C3211" i="1"/>
  <c r="C3210" i="1"/>
  <c r="C3209" i="1"/>
  <c r="C3208" i="1"/>
  <c r="C3207" i="1"/>
  <c r="C3206" i="1"/>
  <c r="C3205" i="1"/>
  <c r="C3204" i="1"/>
  <c r="C3203" i="1"/>
  <c r="C3202" i="1"/>
  <c r="C3201" i="1"/>
  <c r="C3200" i="1"/>
  <c r="C3199" i="1"/>
  <c r="C3198" i="1"/>
  <c r="C3197" i="1"/>
  <c r="C3196" i="1"/>
  <c r="C3195" i="1"/>
  <c r="C3194" i="1"/>
  <c r="C3193" i="1"/>
  <c r="C3192" i="1"/>
  <c r="C3191" i="1"/>
  <c r="C3190" i="1"/>
  <c r="C3189" i="1"/>
  <c r="C3188" i="1"/>
  <c r="C3187" i="1"/>
  <c r="C3186" i="1"/>
  <c r="C3185" i="1"/>
  <c r="C3184" i="1"/>
  <c r="C3183" i="1"/>
  <c r="C3182" i="1"/>
  <c r="C3181" i="1"/>
  <c r="C3180" i="1"/>
  <c r="C3179" i="1"/>
  <c r="C3178" i="1"/>
  <c r="C3177" i="1"/>
  <c r="C3176" i="1"/>
  <c r="C3175" i="1"/>
  <c r="C3174" i="1"/>
  <c r="C3173" i="1"/>
  <c r="C3172" i="1"/>
  <c r="C3171" i="1"/>
  <c r="C3170" i="1"/>
  <c r="C3169" i="1"/>
  <c r="C3168" i="1"/>
  <c r="C3167" i="1"/>
  <c r="C3166" i="1"/>
  <c r="C3165" i="1"/>
  <c r="C3164" i="1"/>
  <c r="C3163" i="1"/>
  <c r="C3162" i="1"/>
  <c r="C3161" i="1"/>
  <c r="C3160" i="1"/>
  <c r="C3159" i="1"/>
  <c r="C3158" i="1"/>
  <c r="C3157" i="1"/>
  <c r="C3156" i="1"/>
  <c r="C3155" i="1"/>
  <c r="C3154" i="1"/>
  <c r="C3153" i="1"/>
  <c r="C3152" i="1"/>
  <c r="C3151" i="1"/>
  <c r="C3150" i="1"/>
  <c r="C3149" i="1"/>
  <c r="C3148" i="1"/>
  <c r="C3147" i="1"/>
  <c r="C3146" i="1"/>
  <c r="C3145" i="1"/>
  <c r="C3144" i="1"/>
  <c r="C3143" i="1"/>
  <c r="C3142" i="1"/>
  <c r="C3141" i="1"/>
  <c r="C3140" i="1"/>
  <c r="C3139" i="1"/>
  <c r="C3138" i="1"/>
  <c r="C3137" i="1"/>
  <c r="C3136" i="1"/>
  <c r="C3135" i="1"/>
  <c r="C3134" i="1"/>
  <c r="C3133" i="1"/>
  <c r="C3132" i="1"/>
  <c r="C3131" i="1"/>
  <c r="C3130" i="1"/>
  <c r="C3129" i="1"/>
  <c r="C3128" i="1"/>
  <c r="C3127" i="1"/>
  <c r="C3126" i="1"/>
  <c r="C3125" i="1"/>
  <c r="C3124" i="1"/>
  <c r="C3123" i="1"/>
  <c r="C3122" i="1"/>
  <c r="C3121" i="1"/>
  <c r="C3120" i="1"/>
  <c r="C3119" i="1"/>
  <c r="C3118" i="1"/>
  <c r="C3117" i="1"/>
  <c r="C3116" i="1"/>
  <c r="C3115" i="1"/>
  <c r="C3114" i="1"/>
  <c r="C3113" i="1"/>
  <c r="C3112" i="1"/>
  <c r="C3111" i="1"/>
  <c r="C3110" i="1"/>
  <c r="C3109" i="1"/>
  <c r="C3108" i="1"/>
  <c r="C3107" i="1"/>
  <c r="C3106" i="1"/>
  <c r="C3105" i="1"/>
  <c r="C3104" i="1"/>
  <c r="C3103" i="1"/>
  <c r="C3102" i="1"/>
  <c r="C3101" i="1"/>
  <c r="C3100" i="1"/>
  <c r="C3099" i="1"/>
  <c r="C3098" i="1"/>
  <c r="C3097" i="1"/>
  <c r="C3096" i="1"/>
  <c r="C3095" i="1"/>
  <c r="C3094" i="1"/>
  <c r="C3093" i="1"/>
  <c r="C3092" i="1"/>
  <c r="C3091" i="1"/>
  <c r="C3090" i="1"/>
  <c r="C3089" i="1"/>
  <c r="C3088" i="1"/>
  <c r="C3087" i="1"/>
  <c r="C3086" i="1"/>
  <c r="C3085" i="1"/>
  <c r="C3084" i="1"/>
  <c r="C3083" i="1"/>
  <c r="C3082" i="1"/>
  <c r="C3081" i="1"/>
  <c r="C3080" i="1"/>
  <c r="C3079" i="1"/>
  <c r="C3078" i="1"/>
  <c r="C3077" i="1"/>
  <c r="C3076" i="1"/>
  <c r="C3075" i="1"/>
  <c r="C3074" i="1"/>
  <c r="C3073" i="1"/>
  <c r="C3072" i="1"/>
  <c r="C3071" i="1"/>
  <c r="C3070" i="1"/>
  <c r="C3069" i="1"/>
  <c r="C3068" i="1"/>
  <c r="C3067" i="1"/>
  <c r="C3066" i="1"/>
  <c r="C3065" i="1"/>
  <c r="C3064" i="1"/>
  <c r="C3063" i="1"/>
  <c r="C3062" i="1"/>
  <c r="C3061" i="1"/>
  <c r="C3060" i="1"/>
  <c r="C3059" i="1"/>
  <c r="C3058" i="1"/>
  <c r="C3057" i="1"/>
  <c r="C3056" i="1"/>
  <c r="C3055" i="1"/>
  <c r="C3054" i="1"/>
  <c r="C3053" i="1"/>
  <c r="C3052" i="1"/>
  <c r="C3051" i="1"/>
  <c r="C3050" i="1"/>
  <c r="C3049" i="1"/>
  <c r="C3048" i="1"/>
  <c r="C3047" i="1"/>
  <c r="C3046" i="1"/>
  <c r="C3045" i="1"/>
  <c r="C3044" i="1"/>
  <c r="C3043" i="1"/>
  <c r="C3042" i="1"/>
  <c r="C3041" i="1"/>
  <c r="C3040" i="1"/>
  <c r="C3039" i="1"/>
  <c r="C3038" i="1"/>
  <c r="C3037" i="1"/>
  <c r="C3036" i="1"/>
  <c r="C3035" i="1"/>
  <c r="C3034" i="1"/>
  <c r="C3033" i="1"/>
  <c r="C3032" i="1"/>
  <c r="C3031" i="1"/>
  <c r="C3030" i="1"/>
  <c r="C3029" i="1"/>
  <c r="C3028" i="1"/>
  <c r="C3027" i="1"/>
  <c r="C3026" i="1"/>
  <c r="C3025" i="1"/>
  <c r="C3024" i="1"/>
  <c r="C3023" i="1"/>
  <c r="C3022" i="1"/>
  <c r="C3021" i="1"/>
  <c r="C3020" i="1"/>
  <c r="C3019" i="1"/>
  <c r="C3018" i="1"/>
  <c r="C3017" i="1"/>
  <c r="C3016" i="1"/>
  <c r="C3015" i="1"/>
  <c r="C3014" i="1"/>
  <c r="C3013" i="1"/>
  <c r="C3012" i="1"/>
  <c r="C3011" i="1"/>
  <c r="C3010" i="1"/>
  <c r="C3009" i="1"/>
  <c r="C3008" i="1"/>
  <c r="C3007" i="1"/>
  <c r="C3006" i="1"/>
  <c r="C3005" i="1"/>
  <c r="C3004" i="1"/>
  <c r="C3003" i="1"/>
  <c r="C3002" i="1"/>
  <c r="C3001" i="1"/>
  <c r="C3000" i="1"/>
  <c r="C2999" i="1"/>
  <c r="C2998" i="1"/>
  <c r="C2997" i="1"/>
  <c r="C2996" i="1"/>
  <c r="C2995" i="1"/>
  <c r="C2994" i="1"/>
  <c r="C2993" i="1"/>
  <c r="C2992" i="1"/>
  <c r="C2991" i="1"/>
  <c r="C2990" i="1"/>
  <c r="C2989" i="1"/>
  <c r="C2988" i="1"/>
  <c r="C2987" i="1"/>
  <c r="C2986" i="1"/>
  <c r="C2985" i="1"/>
  <c r="C2984" i="1"/>
  <c r="C2983" i="1"/>
  <c r="C2982" i="1"/>
  <c r="C2981" i="1"/>
  <c r="C2980" i="1"/>
  <c r="C2979" i="1"/>
  <c r="C2978" i="1"/>
  <c r="C2977" i="1"/>
  <c r="C2976" i="1"/>
  <c r="C2975" i="1"/>
  <c r="C2974" i="1"/>
  <c r="C2973" i="1"/>
  <c r="C2972" i="1"/>
  <c r="C2971" i="1"/>
  <c r="C2970" i="1"/>
  <c r="C2969" i="1"/>
  <c r="C2968" i="1"/>
  <c r="C2967" i="1"/>
  <c r="C2966" i="1"/>
  <c r="C2965" i="1"/>
  <c r="C2964" i="1"/>
  <c r="C2963" i="1"/>
  <c r="C2962" i="1"/>
  <c r="C2961" i="1"/>
  <c r="C2960" i="1"/>
  <c r="C2959" i="1"/>
  <c r="C2958" i="1"/>
  <c r="C2957" i="1"/>
  <c r="C2956" i="1"/>
  <c r="C2955" i="1"/>
  <c r="C2954" i="1"/>
  <c r="C2953" i="1"/>
  <c r="C2952" i="1"/>
  <c r="C2951" i="1"/>
  <c r="C2950" i="1"/>
  <c r="C2949" i="1"/>
  <c r="C2948" i="1"/>
  <c r="C2947" i="1"/>
  <c r="C2946" i="1"/>
  <c r="C2945" i="1"/>
  <c r="C2944" i="1"/>
  <c r="C2943" i="1"/>
  <c r="C2942" i="1"/>
  <c r="C2941" i="1"/>
  <c r="C2940" i="1"/>
  <c r="C2939" i="1"/>
  <c r="C2938" i="1"/>
  <c r="C2937" i="1"/>
  <c r="C2936" i="1"/>
  <c r="C2935" i="1"/>
  <c r="C2934" i="1"/>
  <c r="C2933" i="1"/>
  <c r="C2932" i="1"/>
  <c r="C2931" i="1"/>
  <c r="C2930" i="1"/>
  <c r="C2929" i="1"/>
  <c r="C2928" i="1"/>
  <c r="C2927" i="1"/>
  <c r="C2926" i="1"/>
  <c r="C2925" i="1"/>
  <c r="C2924" i="1"/>
  <c r="C2923" i="1"/>
  <c r="C2922" i="1"/>
  <c r="C2921" i="1"/>
  <c r="C2920" i="1"/>
  <c r="C2919" i="1"/>
  <c r="C2918" i="1"/>
  <c r="C2917" i="1"/>
  <c r="C2916" i="1"/>
  <c r="C2915" i="1"/>
  <c r="C2914" i="1"/>
  <c r="C2913" i="1"/>
  <c r="C2912" i="1"/>
  <c r="C2911" i="1"/>
  <c r="C2910" i="1"/>
  <c r="C2909" i="1"/>
  <c r="C2908" i="1"/>
  <c r="C2907" i="1"/>
  <c r="C2906" i="1"/>
  <c r="C2905" i="1"/>
  <c r="C2904" i="1"/>
  <c r="C2903" i="1"/>
  <c r="C2902" i="1"/>
  <c r="C2901" i="1"/>
  <c r="C2900" i="1"/>
  <c r="C2899" i="1"/>
  <c r="C2898" i="1"/>
  <c r="C2897" i="1"/>
  <c r="C2896" i="1"/>
  <c r="C2895" i="1"/>
  <c r="C2894" i="1"/>
  <c r="C2893" i="1"/>
  <c r="C2892" i="1"/>
  <c r="C2891" i="1"/>
  <c r="C2890" i="1"/>
  <c r="C2889" i="1"/>
  <c r="C2888" i="1"/>
  <c r="C2887" i="1"/>
  <c r="C2886" i="1"/>
  <c r="C2885" i="1"/>
  <c r="C2884" i="1"/>
  <c r="C2883" i="1"/>
  <c r="C2882" i="1"/>
  <c r="C2881" i="1"/>
  <c r="C2880" i="1"/>
  <c r="C2879" i="1"/>
  <c r="C2878" i="1"/>
  <c r="C2877" i="1"/>
  <c r="C2876" i="1"/>
  <c r="C2875" i="1"/>
  <c r="C2874" i="1"/>
  <c r="C2873" i="1"/>
  <c r="C2872" i="1"/>
  <c r="C2871" i="1"/>
  <c r="C2870" i="1"/>
  <c r="C2869" i="1"/>
  <c r="C2868" i="1"/>
  <c r="C2867" i="1"/>
  <c r="C2866" i="1"/>
  <c r="C2865" i="1"/>
  <c r="C2864" i="1"/>
  <c r="C2863" i="1"/>
  <c r="C2862" i="1"/>
  <c r="C2861" i="1"/>
  <c r="C2860" i="1"/>
  <c r="C2859" i="1"/>
  <c r="C2858" i="1"/>
  <c r="C2857" i="1"/>
  <c r="C2856" i="1"/>
  <c r="C2855" i="1"/>
  <c r="C2854" i="1"/>
  <c r="C2853" i="1"/>
  <c r="C2852" i="1"/>
  <c r="C2851" i="1"/>
  <c r="C2850" i="1"/>
  <c r="C2849" i="1"/>
  <c r="C2848" i="1"/>
  <c r="C2847" i="1"/>
  <c r="C2846" i="1"/>
  <c r="C2845" i="1"/>
  <c r="C2844" i="1"/>
  <c r="C2843" i="1"/>
  <c r="C2842" i="1"/>
  <c r="C2841" i="1"/>
  <c r="C2840" i="1"/>
  <c r="C2839" i="1"/>
  <c r="C2838" i="1"/>
  <c r="C2837" i="1"/>
  <c r="C2836" i="1"/>
  <c r="C2835" i="1"/>
  <c r="C2834" i="1"/>
  <c r="C2833" i="1"/>
  <c r="C2832" i="1"/>
  <c r="C2831" i="1"/>
  <c r="C2830" i="1"/>
  <c r="C2829" i="1"/>
  <c r="C2828" i="1"/>
  <c r="C2827" i="1"/>
  <c r="C2826" i="1"/>
  <c r="C2825" i="1"/>
  <c r="C2824" i="1"/>
  <c r="C2823" i="1"/>
  <c r="C2822" i="1"/>
  <c r="C2821" i="1"/>
  <c r="C2820" i="1"/>
  <c r="C2819" i="1"/>
  <c r="C2818" i="1"/>
  <c r="C2817" i="1"/>
  <c r="C2816" i="1"/>
  <c r="C2815" i="1"/>
  <c r="C2814" i="1"/>
  <c r="C2813" i="1"/>
  <c r="C2812" i="1"/>
  <c r="C2811" i="1"/>
  <c r="C2810" i="1"/>
  <c r="C2809" i="1"/>
  <c r="C2808" i="1"/>
  <c r="C2807" i="1"/>
  <c r="C2806" i="1"/>
  <c r="C2805" i="1"/>
  <c r="C2804" i="1"/>
  <c r="C2803" i="1"/>
  <c r="C2802" i="1"/>
  <c r="C2801" i="1"/>
  <c r="C2800" i="1"/>
  <c r="C2799" i="1"/>
  <c r="C2798" i="1"/>
  <c r="C2797" i="1"/>
  <c r="C2796" i="1"/>
  <c r="C2795" i="1"/>
  <c r="C2794" i="1"/>
  <c r="C2793" i="1"/>
  <c r="C2792" i="1"/>
  <c r="C2791" i="1"/>
  <c r="C2790" i="1"/>
  <c r="C2789" i="1"/>
  <c r="C2788" i="1"/>
  <c r="C2787" i="1"/>
  <c r="C2786" i="1"/>
  <c r="C2785" i="1"/>
  <c r="C2784" i="1"/>
  <c r="C2783" i="1"/>
  <c r="C2782" i="1"/>
  <c r="C2781" i="1"/>
  <c r="C2780" i="1"/>
  <c r="C2779" i="1"/>
  <c r="C2778" i="1"/>
  <c r="C2777" i="1"/>
  <c r="C2776" i="1"/>
  <c r="C2775" i="1"/>
  <c r="C2774" i="1"/>
  <c r="C2773" i="1"/>
  <c r="C2772" i="1"/>
  <c r="C2771" i="1"/>
  <c r="C2770" i="1"/>
  <c r="C2769" i="1"/>
  <c r="C2768" i="1"/>
  <c r="C2767" i="1"/>
  <c r="C2766" i="1"/>
  <c r="C2765" i="1"/>
  <c r="C2764" i="1"/>
  <c r="C2763" i="1"/>
  <c r="C2762" i="1"/>
  <c r="C2761" i="1"/>
  <c r="C2760" i="1"/>
  <c r="C2759" i="1"/>
  <c r="C2758" i="1"/>
  <c r="C2757" i="1"/>
  <c r="C2756" i="1"/>
  <c r="C2755" i="1"/>
  <c r="C2754" i="1"/>
  <c r="C2753" i="1"/>
  <c r="C2752" i="1"/>
  <c r="C2751" i="1"/>
  <c r="C2750" i="1"/>
  <c r="C2749" i="1"/>
  <c r="C2748" i="1"/>
  <c r="C2747" i="1"/>
  <c r="C2746" i="1"/>
  <c r="C2745" i="1"/>
  <c r="C2744" i="1"/>
  <c r="C2743" i="1"/>
  <c r="C2742" i="1"/>
  <c r="C2741" i="1"/>
  <c r="C2740" i="1"/>
  <c r="C2739" i="1"/>
  <c r="C2738" i="1"/>
  <c r="C2737" i="1"/>
  <c r="C2736" i="1"/>
  <c r="C2735" i="1"/>
  <c r="C2734" i="1"/>
  <c r="C2733" i="1"/>
  <c r="C2732" i="1"/>
  <c r="C2731" i="1"/>
  <c r="C2730" i="1"/>
  <c r="C2729" i="1"/>
  <c r="C2728" i="1"/>
  <c r="C2727" i="1"/>
  <c r="C2726" i="1"/>
  <c r="C2725" i="1"/>
  <c r="C2724" i="1"/>
  <c r="C2723" i="1"/>
  <c r="C2722" i="1"/>
  <c r="C2721" i="1"/>
  <c r="C2720" i="1"/>
  <c r="C2719" i="1"/>
  <c r="C2718" i="1"/>
  <c r="C2717" i="1"/>
  <c r="C2716" i="1"/>
  <c r="C2715" i="1"/>
  <c r="C2714" i="1"/>
  <c r="C2713" i="1"/>
  <c r="C2712" i="1"/>
  <c r="C2711" i="1"/>
  <c r="C2710" i="1"/>
  <c r="C2709" i="1"/>
  <c r="C2708" i="1"/>
  <c r="C2707" i="1"/>
  <c r="C2706" i="1"/>
  <c r="C2705" i="1"/>
  <c r="C2704" i="1"/>
  <c r="C2703" i="1"/>
  <c r="C2702" i="1"/>
  <c r="C2701" i="1"/>
  <c r="C2700" i="1"/>
  <c r="C2699" i="1"/>
  <c r="C2698" i="1"/>
  <c r="C2697" i="1"/>
  <c r="C2696" i="1"/>
  <c r="C2695" i="1"/>
  <c r="C2694" i="1"/>
  <c r="C2693" i="1"/>
  <c r="C2692" i="1"/>
  <c r="C2691" i="1"/>
  <c r="C2690" i="1"/>
  <c r="C2689" i="1"/>
  <c r="C2688" i="1"/>
  <c r="C2687" i="1"/>
  <c r="C2686" i="1"/>
  <c r="C2685" i="1"/>
  <c r="C2684" i="1"/>
  <c r="C2683" i="1"/>
  <c r="C2682" i="1"/>
  <c r="C2681" i="1"/>
  <c r="C2680" i="1"/>
  <c r="C2679" i="1"/>
  <c r="C2678" i="1"/>
  <c r="C2677" i="1"/>
  <c r="C2676" i="1"/>
  <c r="C2675" i="1"/>
  <c r="C2674" i="1"/>
  <c r="C2673" i="1"/>
  <c r="C2672" i="1"/>
  <c r="C2671" i="1"/>
  <c r="C2670" i="1"/>
  <c r="C2669" i="1"/>
  <c r="C2668" i="1"/>
  <c r="C2667" i="1"/>
  <c r="C2666" i="1"/>
  <c r="C2665" i="1"/>
  <c r="C2664" i="1"/>
  <c r="C2663" i="1"/>
  <c r="C2662" i="1"/>
  <c r="C2661" i="1"/>
  <c r="C2660" i="1"/>
  <c r="C2659" i="1"/>
  <c r="C2658" i="1"/>
  <c r="C2657" i="1"/>
  <c r="C2656" i="1"/>
  <c r="C2655" i="1"/>
  <c r="C2654" i="1"/>
  <c r="C2653" i="1"/>
  <c r="C2652" i="1"/>
  <c r="C2651" i="1"/>
  <c r="C2650" i="1"/>
  <c r="C2649" i="1"/>
  <c r="C2648" i="1"/>
  <c r="C2647" i="1"/>
  <c r="C2646" i="1"/>
  <c r="C2645" i="1"/>
  <c r="C2644" i="1"/>
  <c r="C2643" i="1"/>
  <c r="C2642" i="1"/>
  <c r="C2641" i="1"/>
  <c r="C2640" i="1"/>
  <c r="C2639" i="1"/>
  <c r="C2638" i="1"/>
  <c r="C2637" i="1"/>
  <c r="C2636" i="1"/>
  <c r="C2635" i="1"/>
  <c r="C2634" i="1"/>
  <c r="C2633" i="1"/>
  <c r="C2632" i="1"/>
  <c r="C2631" i="1"/>
  <c r="C2630" i="1"/>
  <c r="C2629" i="1"/>
  <c r="C2628" i="1"/>
  <c r="C2627" i="1"/>
  <c r="C2626" i="1"/>
  <c r="C2625" i="1"/>
  <c r="C2624" i="1"/>
  <c r="C2623" i="1"/>
  <c r="C2622" i="1"/>
  <c r="C2621" i="1"/>
  <c r="C2620" i="1"/>
  <c r="C2619" i="1"/>
  <c r="C2618" i="1"/>
  <c r="C2617" i="1"/>
  <c r="C2616" i="1"/>
  <c r="C2615" i="1"/>
  <c r="C2614" i="1"/>
  <c r="C2613" i="1"/>
  <c r="C2612" i="1"/>
  <c r="C2611" i="1"/>
  <c r="C2610" i="1"/>
  <c r="C2609" i="1"/>
  <c r="C2608" i="1"/>
  <c r="C2607" i="1"/>
  <c r="C2606" i="1"/>
  <c r="C2605" i="1"/>
  <c r="C2604" i="1"/>
  <c r="C2603" i="1"/>
  <c r="C2602" i="1"/>
  <c r="C2601" i="1"/>
  <c r="C2600" i="1"/>
  <c r="C2599" i="1"/>
  <c r="C2598" i="1"/>
  <c r="C2597" i="1"/>
  <c r="C2596" i="1"/>
  <c r="C2595" i="1"/>
  <c r="C2594" i="1"/>
  <c r="C2593" i="1"/>
  <c r="C2592" i="1"/>
  <c r="C2591" i="1"/>
  <c r="C2590" i="1"/>
  <c r="C2589" i="1"/>
  <c r="C2588" i="1"/>
  <c r="C2587" i="1"/>
  <c r="C2586" i="1"/>
  <c r="C2585" i="1"/>
  <c r="C2584" i="1"/>
  <c r="C2583" i="1"/>
  <c r="C2582" i="1"/>
  <c r="C2581" i="1"/>
  <c r="C2580" i="1"/>
  <c r="C2579" i="1"/>
  <c r="C2578" i="1"/>
  <c r="C2577" i="1"/>
  <c r="C2576" i="1"/>
  <c r="C2575" i="1"/>
  <c r="C2574" i="1"/>
  <c r="C2573" i="1"/>
  <c r="C2572" i="1"/>
  <c r="C2571" i="1"/>
  <c r="C2570" i="1"/>
  <c r="C2569" i="1"/>
  <c r="C2568" i="1"/>
  <c r="C2567" i="1"/>
  <c r="C2566" i="1"/>
  <c r="C2565" i="1"/>
  <c r="C2564" i="1"/>
  <c r="C2563" i="1"/>
  <c r="C2562" i="1"/>
  <c r="C2561" i="1"/>
  <c r="C2560" i="1"/>
  <c r="C2559" i="1"/>
  <c r="C2558" i="1"/>
  <c r="C2557" i="1"/>
  <c r="C2556" i="1"/>
  <c r="C2555" i="1"/>
  <c r="C2554" i="1"/>
  <c r="C2553" i="1"/>
  <c r="C2552" i="1"/>
  <c r="C2551" i="1"/>
  <c r="C2550" i="1"/>
  <c r="C2549" i="1"/>
  <c r="C2548" i="1"/>
  <c r="C2547" i="1"/>
  <c r="C2546" i="1"/>
  <c r="C2545" i="1"/>
  <c r="C2544" i="1"/>
  <c r="C2543" i="1"/>
  <c r="C2542" i="1"/>
  <c r="C2541" i="1"/>
  <c r="C2540" i="1"/>
  <c r="C2539" i="1"/>
  <c r="C2538" i="1"/>
  <c r="C2537" i="1"/>
  <c r="C2536" i="1"/>
  <c r="C2535" i="1"/>
  <c r="C2534" i="1"/>
  <c r="C2533" i="1"/>
  <c r="C2532" i="1"/>
  <c r="C2531" i="1"/>
  <c r="C2530" i="1"/>
  <c r="C2529" i="1"/>
  <c r="C2528" i="1"/>
  <c r="C2527" i="1"/>
  <c r="C2526" i="1"/>
  <c r="C2525" i="1"/>
  <c r="C2524" i="1"/>
  <c r="C2523" i="1"/>
  <c r="C2522" i="1"/>
  <c r="C2521" i="1"/>
  <c r="C2520" i="1"/>
  <c r="C2519" i="1"/>
  <c r="C2518" i="1"/>
  <c r="C2517" i="1"/>
  <c r="C2516" i="1"/>
  <c r="C2515" i="1"/>
  <c r="C2514" i="1"/>
  <c r="C2513" i="1"/>
  <c r="C2512" i="1"/>
  <c r="C2511" i="1"/>
  <c r="C2510" i="1"/>
  <c r="C2509" i="1"/>
  <c r="C2508" i="1"/>
  <c r="C2507" i="1"/>
  <c r="C2506" i="1"/>
  <c r="C2505" i="1"/>
  <c r="C2504" i="1"/>
  <c r="C2503" i="1"/>
  <c r="C2502" i="1"/>
  <c r="C2501" i="1"/>
  <c r="C2500" i="1"/>
  <c r="C2499" i="1"/>
  <c r="C2498" i="1"/>
  <c r="C2497" i="1"/>
  <c r="C2496" i="1"/>
  <c r="C2495" i="1"/>
  <c r="C2494" i="1"/>
  <c r="C2493" i="1"/>
  <c r="C2492" i="1"/>
  <c r="C2491" i="1"/>
  <c r="C2490" i="1"/>
  <c r="C2489" i="1"/>
  <c r="C2488" i="1"/>
  <c r="C2487" i="1"/>
  <c r="C2486" i="1"/>
  <c r="C2485" i="1"/>
  <c r="C2484" i="1"/>
  <c r="C2483" i="1"/>
  <c r="C2482" i="1"/>
  <c r="C2481" i="1"/>
  <c r="C2480" i="1"/>
  <c r="C2479" i="1"/>
  <c r="C2478" i="1"/>
  <c r="C2477" i="1"/>
  <c r="C2476" i="1"/>
  <c r="C2475" i="1"/>
  <c r="C2474" i="1"/>
  <c r="C2473" i="1"/>
  <c r="C2472" i="1"/>
  <c r="C2471" i="1"/>
  <c r="C2470" i="1"/>
  <c r="C2469" i="1"/>
  <c r="C2468" i="1"/>
  <c r="C2467" i="1"/>
  <c r="C2466" i="1"/>
  <c r="C2465" i="1"/>
  <c r="C2464" i="1"/>
  <c r="C2463" i="1"/>
  <c r="C2462" i="1"/>
  <c r="C2461" i="1"/>
  <c r="C2460" i="1"/>
  <c r="C2459" i="1"/>
  <c r="C2458" i="1"/>
  <c r="C2457" i="1"/>
  <c r="C2456" i="1"/>
  <c r="C2455" i="1"/>
  <c r="C2454" i="1"/>
  <c r="C2453" i="1"/>
  <c r="C2452" i="1"/>
  <c r="C2451" i="1"/>
  <c r="C2450" i="1"/>
  <c r="C2449" i="1"/>
  <c r="C2448" i="1"/>
  <c r="C2447" i="1"/>
  <c r="C2446" i="1"/>
  <c r="C2445" i="1"/>
  <c r="C2444" i="1"/>
  <c r="C2443" i="1"/>
  <c r="C2442" i="1"/>
  <c r="C2441" i="1"/>
  <c r="C2440" i="1"/>
  <c r="C2439" i="1"/>
  <c r="C2438" i="1"/>
  <c r="C2437" i="1"/>
  <c r="C2436" i="1"/>
  <c r="C2435" i="1"/>
  <c r="C2434" i="1"/>
  <c r="C2433" i="1"/>
  <c r="C2432" i="1"/>
  <c r="C2431" i="1"/>
  <c r="C2430" i="1"/>
  <c r="C2429" i="1"/>
  <c r="C2428" i="1"/>
  <c r="C2427" i="1"/>
  <c r="C2426" i="1"/>
  <c r="C2425" i="1"/>
  <c r="C2424" i="1"/>
  <c r="C2423" i="1"/>
  <c r="C2422" i="1"/>
  <c r="C2421" i="1"/>
  <c r="C2420" i="1"/>
  <c r="C2419" i="1"/>
  <c r="C2418" i="1"/>
  <c r="C2417" i="1"/>
  <c r="C2416" i="1"/>
  <c r="C2415" i="1"/>
  <c r="C2414" i="1"/>
  <c r="C2413" i="1"/>
  <c r="C2412" i="1"/>
  <c r="C2411" i="1"/>
  <c r="C2410" i="1"/>
  <c r="C2409" i="1"/>
  <c r="C2408" i="1"/>
  <c r="C2407" i="1"/>
  <c r="C2406" i="1"/>
  <c r="C2405" i="1"/>
  <c r="C2404" i="1"/>
  <c r="C2403" i="1"/>
  <c r="C2402" i="1"/>
  <c r="C2401" i="1"/>
  <c r="C2400" i="1"/>
  <c r="C2399" i="1"/>
  <c r="C2398" i="1"/>
  <c r="C2397" i="1"/>
  <c r="C2396" i="1"/>
  <c r="C2395" i="1"/>
  <c r="C2394" i="1"/>
  <c r="C2393" i="1"/>
  <c r="C2392" i="1"/>
  <c r="C2391" i="1"/>
  <c r="C2390" i="1"/>
  <c r="C2389" i="1"/>
  <c r="C2388" i="1"/>
  <c r="C2387" i="1"/>
  <c r="C2386" i="1"/>
  <c r="C2385" i="1"/>
  <c r="C2384" i="1"/>
  <c r="C2383" i="1"/>
  <c r="C2382" i="1"/>
  <c r="C2381" i="1"/>
  <c r="C2380" i="1"/>
  <c r="C2379" i="1"/>
  <c r="C2378" i="1"/>
  <c r="C2377" i="1"/>
  <c r="C2376" i="1"/>
  <c r="C2375" i="1"/>
  <c r="C2374" i="1"/>
  <c r="C2373" i="1"/>
  <c r="C2372" i="1"/>
  <c r="C2371" i="1"/>
  <c r="C2370" i="1"/>
  <c r="C2369" i="1"/>
  <c r="C2368" i="1"/>
  <c r="C2367" i="1"/>
  <c r="C2366" i="1"/>
  <c r="C2365" i="1"/>
  <c r="C2364" i="1"/>
  <c r="C2363" i="1"/>
  <c r="C2362" i="1"/>
  <c r="C2361" i="1"/>
  <c r="C2360" i="1"/>
  <c r="C2359" i="1"/>
  <c r="C2358" i="1"/>
  <c r="C2357" i="1"/>
  <c r="C2356" i="1"/>
  <c r="C2355" i="1"/>
  <c r="C2354" i="1"/>
  <c r="C2353" i="1"/>
  <c r="C2352" i="1"/>
  <c r="C2351" i="1"/>
  <c r="C2350" i="1"/>
  <c r="C2349" i="1"/>
  <c r="C2348" i="1"/>
  <c r="C2347" i="1"/>
  <c r="C2346" i="1"/>
  <c r="C2345" i="1"/>
  <c r="C2344" i="1"/>
  <c r="C2343" i="1"/>
  <c r="C2342" i="1"/>
  <c r="C2341" i="1"/>
  <c r="C2340" i="1"/>
  <c r="C2339" i="1"/>
  <c r="C2338" i="1"/>
  <c r="C2337" i="1"/>
  <c r="C2336" i="1"/>
  <c r="C2335" i="1"/>
  <c r="C2334" i="1"/>
  <c r="C2333" i="1"/>
  <c r="C2332" i="1"/>
  <c r="C2331" i="1"/>
  <c r="C2330" i="1"/>
  <c r="C2329" i="1"/>
  <c r="C2328" i="1"/>
  <c r="C2327" i="1"/>
  <c r="C2326" i="1"/>
  <c r="C2325" i="1"/>
  <c r="C2324" i="1"/>
  <c r="C2323" i="1"/>
  <c r="C2322" i="1"/>
  <c r="C2321" i="1"/>
  <c r="C2320" i="1"/>
  <c r="C2319" i="1"/>
  <c r="C2318" i="1"/>
  <c r="C2317" i="1"/>
  <c r="C2316" i="1"/>
  <c r="C2315" i="1"/>
  <c r="C2314" i="1"/>
  <c r="C2313" i="1"/>
  <c r="C2312" i="1"/>
  <c r="C2311" i="1"/>
  <c r="C2310" i="1"/>
  <c r="C2309" i="1"/>
  <c r="C2308" i="1"/>
  <c r="C2307" i="1"/>
  <c r="C2306" i="1"/>
  <c r="C2305" i="1"/>
  <c r="C2304" i="1"/>
  <c r="C2303" i="1"/>
  <c r="C2302" i="1"/>
  <c r="C2301" i="1"/>
  <c r="C2300" i="1"/>
  <c r="C2299" i="1"/>
  <c r="C2298" i="1"/>
  <c r="C2297" i="1"/>
  <c r="C2296" i="1"/>
  <c r="C2295" i="1"/>
  <c r="C2294" i="1"/>
  <c r="C2293" i="1"/>
  <c r="C2292" i="1"/>
  <c r="C2291" i="1"/>
  <c r="C2290" i="1"/>
  <c r="C2289" i="1"/>
  <c r="C2288" i="1"/>
  <c r="C2287" i="1"/>
  <c r="C2286" i="1"/>
  <c r="C2285" i="1"/>
  <c r="C2284" i="1"/>
  <c r="C2283" i="1"/>
  <c r="C2282" i="1"/>
  <c r="C2281" i="1"/>
  <c r="C2280" i="1"/>
  <c r="C2279" i="1"/>
  <c r="C2278" i="1"/>
  <c r="C2277" i="1"/>
  <c r="C2276" i="1"/>
  <c r="C2275" i="1"/>
  <c r="C2274" i="1"/>
  <c r="C2273" i="1"/>
  <c r="C2272" i="1"/>
  <c r="C2271" i="1"/>
  <c r="C2270" i="1"/>
  <c r="C2269" i="1"/>
  <c r="C2268" i="1"/>
  <c r="C2267" i="1"/>
  <c r="C2266" i="1"/>
  <c r="C2265" i="1"/>
  <c r="C2264" i="1"/>
  <c r="C2263" i="1"/>
  <c r="C2262" i="1"/>
  <c r="C2261" i="1"/>
  <c r="C2260" i="1"/>
  <c r="C2259" i="1"/>
  <c r="C2258" i="1"/>
  <c r="C2257" i="1"/>
  <c r="C2256" i="1"/>
  <c r="C2255" i="1"/>
  <c r="C2254" i="1"/>
  <c r="C2253" i="1"/>
  <c r="C2252" i="1"/>
  <c r="C2251" i="1"/>
  <c r="C2250" i="1"/>
  <c r="C2249" i="1"/>
  <c r="C2248" i="1"/>
  <c r="C2247" i="1"/>
  <c r="C2246" i="1"/>
  <c r="C2245" i="1"/>
  <c r="C2244" i="1"/>
  <c r="C2243" i="1"/>
  <c r="C2242" i="1"/>
  <c r="C2241" i="1"/>
  <c r="C2240" i="1"/>
  <c r="C2239" i="1"/>
  <c r="C2238" i="1"/>
  <c r="C2237" i="1"/>
  <c r="C2236" i="1"/>
  <c r="C2235" i="1"/>
  <c r="C2234" i="1"/>
  <c r="C2233" i="1"/>
  <c r="C2232" i="1"/>
  <c r="C2231" i="1"/>
  <c r="C2230" i="1"/>
  <c r="C2229" i="1"/>
  <c r="C2228" i="1"/>
  <c r="C2227" i="1"/>
  <c r="C2226" i="1"/>
  <c r="C2225" i="1"/>
  <c r="C2224" i="1"/>
  <c r="C2223" i="1"/>
  <c r="C2222" i="1"/>
  <c r="C2221" i="1"/>
  <c r="C2220" i="1"/>
  <c r="C2219" i="1"/>
  <c r="C2218" i="1"/>
  <c r="C2217" i="1"/>
  <c r="C2216" i="1"/>
  <c r="C2215" i="1"/>
  <c r="C2214" i="1"/>
  <c r="C2213" i="1"/>
  <c r="C2212" i="1"/>
  <c r="C2211" i="1"/>
  <c r="C2210" i="1"/>
  <c r="C2209" i="1"/>
  <c r="C2208" i="1"/>
  <c r="C2207" i="1"/>
  <c r="C2206" i="1"/>
  <c r="C2205" i="1"/>
  <c r="C2204" i="1"/>
  <c r="C2203" i="1"/>
  <c r="C2202" i="1"/>
  <c r="C2201" i="1"/>
  <c r="C2200" i="1"/>
  <c r="C2199" i="1"/>
  <c r="C2198" i="1"/>
  <c r="C2197" i="1"/>
  <c r="C2196" i="1"/>
  <c r="C2195" i="1"/>
  <c r="C2194" i="1"/>
  <c r="C2193" i="1"/>
  <c r="C2192" i="1"/>
  <c r="C2191" i="1"/>
  <c r="C2190" i="1"/>
  <c r="C2189" i="1"/>
  <c r="C2188" i="1"/>
  <c r="C2187" i="1"/>
  <c r="C2186" i="1"/>
  <c r="C2185" i="1"/>
  <c r="C2184" i="1"/>
  <c r="C2183" i="1"/>
  <c r="C2182" i="1"/>
  <c r="C2181" i="1"/>
  <c r="C2180" i="1"/>
  <c r="C2179" i="1"/>
  <c r="C2178" i="1"/>
  <c r="C2177" i="1"/>
  <c r="C2176" i="1"/>
  <c r="C2175" i="1"/>
  <c r="C2174" i="1"/>
  <c r="C2173" i="1"/>
  <c r="C2172" i="1"/>
  <c r="C2171" i="1"/>
  <c r="C2170" i="1"/>
  <c r="C2169" i="1"/>
  <c r="C2168" i="1"/>
  <c r="C2167" i="1"/>
  <c r="C2166" i="1"/>
  <c r="C2165" i="1"/>
  <c r="C2164" i="1"/>
  <c r="C2163" i="1"/>
  <c r="C2162" i="1"/>
  <c r="C2161" i="1"/>
  <c r="C2160" i="1"/>
  <c r="C2159" i="1"/>
  <c r="C2158" i="1"/>
  <c r="C2157" i="1"/>
  <c r="C2156" i="1"/>
  <c r="C2155" i="1"/>
  <c r="C2154" i="1"/>
  <c r="C2153" i="1"/>
  <c r="C2152" i="1"/>
  <c r="C2151" i="1"/>
  <c r="C2150" i="1"/>
  <c r="C2149" i="1"/>
  <c r="C2148" i="1"/>
  <c r="C2147" i="1"/>
  <c r="C2146" i="1"/>
  <c r="C2145" i="1"/>
  <c r="C2144" i="1"/>
  <c r="C2143" i="1"/>
  <c r="C2142" i="1"/>
  <c r="C2141" i="1"/>
  <c r="C2140" i="1"/>
  <c r="C2139" i="1"/>
  <c r="C2138" i="1"/>
  <c r="C2137" i="1"/>
  <c r="C2136" i="1"/>
  <c r="C2135" i="1"/>
  <c r="C2134" i="1"/>
  <c r="C2133" i="1"/>
  <c r="C2132" i="1"/>
  <c r="C2131" i="1"/>
  <c r="C2130" i="1"/>
  <c r="C2129" i="1"/>
  <c r="C2128" i="1"/>
  <c r="C2127" i="1"/>
  <c r="C2126" i="1"/>
  <c r="C2125" i="1"/>
  <c r="C2124" i="1"/>
  <c r="C2123" i="1"/>
  <c r="C2122" i="1"/>
  <c r="C2121" i="1"/>
  <c r="C2120" i="1"/>
  <c r="C2119" i="1"/>
  <c r="C2118" i="1"/>
  <c r="C2117" i="1"/>
  <c r="C2116" i="1"/>
  <c r="C2115" i="1"/>
  <c r="C2114" i="1"/>
  <c r="C2113" i="1"/>
  <c r="C2112" i="1"/>
  <c r="C2111" i="1"/>
  <c r="C2110" i="1"/>
  <c r="C2109" i="1"/>
  <c r="C2108" i="1"/>
  <c r="C2107" i="1"/>
  <c r="C2106" i="1"/>
  <c r="C2105" i="1"/>
  <c r="C2104" i="1"/>
  <c r="C2103" i="1"/>
  <c r="C2102" i="1"/>
  <c r="C2101" i="1"/>
  <c r="C2100" i="1"/>
  <c r="C2099" i="1"/>
  <c r="C2098" i="1"/>
  <c r="C2097" i="1"/>
  <c r="C2096" i="1"/>
  <c r="C2095" i="1"/>
  <c r="C2094" i="1"/>
  <c r="C2093" i="1"/>
  <c r="C2092" i="1"/>
  <c r="C2091" i="1"/>
  <c r="C2090" i="1"/>
  <c r="C2089" i="1"/>
  <c r="C2088" i="1"/>
  <c r="C2087" i="1"/>
  <c r="C2086" i="1"/>
  <c r="C2085" i="1"/>
  <c r="C2084" i="1"/>
  <c r="C2083" i="1"/>
  <c r="C2082" i="1"/>
  <c r="C2081" i="1"/>
  <c r="C2080" i="1"/>
  <c r="C2079" i="1"/>
  <c r="C2078" i="1"/>
  <c r="C2077" i="1"/>
  <c r="C2076" i="1"/>
  <c r="C2075" i="1"/>
  <c r="C2074" i="1"/>
  <c r="C2073" i="1"/>
  <c r="C2072" i="1"/>
  <c r="C2071" i="1"/>
  <c r="C2070" i="1"/>
  <c r="C2069" i="1"/>
  <c r="C2068" i="1"/>
  <c r="C2067" i="1"/>
  <c r="C2066" i="1"/>
  <c r="C2065" i="1"/>
  <c r="C2064" i="1"/>
  <c r="C2063" i="1"/>
  <c r="C2062" i="1"/>
  <c r="C2061" i="1"/>
  <c r="C2060" i="1"/>
  <c r="C2059" i="1"/>
  <c r="C2058" i="1"/>
  <c r="C2057" i="1"/>
  <c r="C2056" i="1"/>
  <c r="C2055" i="1"/>
  <c r="C2054" i="1"/>
  <c r="C2053" i="1"/>
  <c r="C2052" i="1"/>
  <c r="C2051" i="1"/>
  <c r="C2050" i="1"/>
  <c r="C2049" i="1"/>
  <c r="C2048" i="1"/>
  <c r="C2047" i="1"/>
  <c r="C2046" i="1"/>
  <c r="C2045" i="1"/>
  <c r="C2044" i="1"/>
  <c r="C2043" i="1"/>
  <c r="C2042" i="1"/>
  <c r="C2041" i="1"/>
  <c r="C2040" i="1"/>
  <c r="C2039" i="1"/>
  <c r="C2038" i="1"/>
  <c r="C2037" i="1"/>
  <c r="C2036" i="1"/>
  <c r="C2035" i="1"/>
  <c r="C2034" i="1"/>
  <c r="C2033" i="1"/>
  <c r="C2032" i="1"/>
  <c r="C2031" i="1"/>
  <c r="C2030" i="1"/>
  <c r="C2029" i="1"/>
  <c r="C2028" i="1"/>
  <c r="C2027" i="1"/>
  <c r="C2026" i="1"/>
  <c r="C2025" i="1"/>
  <c r="C2024" i="1"/>
  <c r="C2023" i="1"/>
  <c r="C2022" i="1"/>
  <c r="C2021" i="1"/>
  <c r="C2020" i="1"/>
  <c r="C2019" i="1"/>
  <c r="C2018" i="1"/>
  <c r="C2017" i="1"/>
  <c r="C2016" i="1"/>
  <c r="C2015" i="1"/>
  <c r="C2014" i="1"/>
  <c r="C2013" i="1"/>
  <c r="C2012" i="1"/>
  <c r="C2011" i="1"/>
  <c r="C2010" i="1"/>
  <c r="C2009" i="1"/>
  <c r="C2008" i="1"/>
  <c r="C2007" i="1"/>
  <c r="C2006" i="1"/>
  <c r="C2005" i="1"/>
  <c r="C2004" i="1"/>
  <c r="C2003" i="1"/>
  <c r="C2002" i="1"/>
  <c r="C2001" i="1"/>
  <c r="C2000" i="1"/>
  <c r="C1999" i="1"/>
  <c r="C1998" i="1"/>
  <c r="C1997" i="1"/>
  <c r="C1996" i="1"/>
  <c r="C1995" i="1"/>
  <c r="C1994" i="1"/>
  <c r="C1993" i="1"/>
  <c r="C1992" i="1"/>
  <c r="C1991" i="1"/>
  <c r="C1990" i="1"/>
  <c r="C1989" i="1"/>
  <c r="C1988" i="1"/>
  <c r="C1987" i="1"/>
  <c r="C1986" i="1"/>
  <c r="C1985" i="1"/>
  <c r="C1984" i="1"/>
  <c r="C1983" i="1"/>
  <c r="C1982" i="1"/>
  <c r="C1981" i="1"/>
  <c r="C1980" i="1"/>
  <c r="C1979" i="1"/>
  <c r="C1978" i="1"/>
  <c r="C1977" i="1"/>
  <c r="C1976" i="1"/>
  <c r="C1975" i="1"/>
  <c r="C1974" i="1"/>
  <c r="C1973" i="1"/>
  <c r="C1972" i="1"/>
  <c r="C1971" i="1"/>
  <c r="C1970" i="1"/>
  <c r="C1969" i="1"/>
  <c r="C1968" i="1"/>
  <c r="C1967" i="1"/>
  <c r="C1966" i="1"/>
  <c r="C1965" i="1"/>
  <c r="C1964" i="1"/>
  <c r="C1963" i="1"/>
  <c r="C1962" i="1"/>
  <c r="C1961" i="1"/>
  <c r="C1960" i="1"/>
  <c r="C1959" i="1"/>
  <c r="C1958" i="1"/>
  <c r="C1957" i="1"/>
  <c r="C1956" i="1"/>
  <c r="C1955" i="1"/>
  <c r="C1954" i="1"/>
  <c r="C1953" i="1"/>
  <c r="C1952" i="1"/>
  <c r="C1951" i="1"/>
  <c r="C1950" i="1"/>
  <c r="C1949" i="1"/>
  <c r="C1948" i="1"/>
  <c r="C1947" i="1"/>
  <c r="C1946" i="1"/>
  <c r="C1945" i="1"/>
  <c r="C1944" i="1"/>
  <c r="C1943" i="1"/>
  <c r="C1942" i="1"/>
  <c r="C1941" i="1"/>
  <c r="C1940" i="1"/>
  <c r="C1939" i="1"/>
  <c r="C1938" i="1"/>
  <c r="C1937" i="1"/>
  <c r="C1936" i="1"/>
  <c r="C1935" i="1"/>
  <c r="C1934" i="1"/>
  <c r="C1933" i="1"/>
  <c r="C1932" i="1"/>
  <c r="C1931" i="1"/>
  <c r="C1930" i="1"/>
  <c r="C1929" i="1"/>
  <c r="C1928" i="1"/>
  <c r="C1927" i="1"/>
  <c r="C1926" i="1"/>
  <c r="C1925" i="1"/>
  <c r="C1924" i="1"/>
  <c r="C1923" i="1"/>
  <c r="C1922" i="1"/>
  <c r="C1921" i="1"/>
  <c r="C1920" i="1"/>
  <c r="C1919" i="1"/>
  <c r="C1918" i="1"/>
  <c r="C1917" i="1"/>
  <c r="C1916" i="1"/>
  <c r="C1915" i="1"/>
  <c r="C1914" i="1"/>
  <c r="C1913" i="1"/>
  <c r="C1912" i="1"/>
  <c r="C1911" i="1"/>
  <c r="C1910" i="1"/>
  <c r="C1909" i="1"/>
  <c r="C1908" i="1"/>
  <c r="C1907" i="1"/>
  <c r="C1906" i="1"/>
  <c r="C1905" i="1"/>
  <c r="C1904" i="1"/>
  <c r="C1903" i="1"/>
  <c r="C1902" i="1"/>
  <c r="C1901" i="1"/>
  <c r="C1900" i="1"/>
  <c r="C1899" i="1"/>
  <c r="C1898" i="1"/>
  <c r="C1897" i="1"/>
  <c r="C1896" i="1"/>
  <c r="C1895" i="1"/>
  <c r="C1894" i="1"/>
  <c r="C1893" i="1"/>
  <c r="C1892" i="1"/>
  <c r="C1891" i="1"/>
  <c r="C1890" i="1"/>
  <c r="C1889" i="1"/>
  <c r="C1888" i="1"/>
  <c r="C1887" i="1"/>
  <c r="C1886" i="1"/>
  <c r="C1885" i="1"/>
  <c r="C1884" i="1"/>
  <c r="C1883" i="1"/>
  <c r="C1882" i="1"/>
  <c r="C1881" i="1"/>
  <c r="C1880" i="1"/>
  <c r="C1879" i="1"/>
  <c r="C1878" i="1"/>
  <c r="C1877" i="1"/>
  <c r="C1876" i="1"/>
  <c r="C1875" i="1"/>
  <c r="C1874" i="1"/>
  <c r="C1873" i="1"/>
  <c r="C1872" i="1"/>
  <c r="C1871" i="1"/>
  <c r="C1870" i="1"/>
  <c r="C1869" i="1"/>
  <c r="C1868" i="1"/>
  <c r="C1867" i="1"/>
  <c r="C1866" i="1"/>
  <c r="C1865" i="1"/>
  <c r="C1864" i="1"/>
  <c r="C1863" i="1"/>
  <c r="C1862" i="1"/>
  <c r="C1861" i="1"/>
  <c r="C1860" i="1"/>
  <c r="C1859" i="1"/>
  <c r="C1858" i="1"/>
  <c r="C1857" i="1"/>
  <c r="C1856" i="1"/>
  <c r="C1855" i="1"/>
  <c r="C1854" i="1"/>
  <c r="C1853" i="1"/>
  <c r="C1852" i="1"/>
  <c r="C1851" i="1"/>
  <c r="C1850" i="1"/>
  <c r="C1849" i="1"/>
  <c r="C1848" i="1"/>
  <c r="C1847" i="1"/>
  <c r="C1846" i="1"/>
  <c r="C1845" i="1"/>
  <c r="C1844" i="1"/>
  <c r="C1843" i="1"/>
  <c r="C1842" i="1"/>
  <c r="C1841" i="1"/>
  <c r="C1840" i="1"/>
  <c r="C1839" i="1"/>
  <c r="C1838" i="1"/>
  <c r="C1837" i="1"/>
  <c r="C1836" i="1"/>
  <c r="C1835" i="1"/>
  <c r="C1834" i="1"/>
  <c r="C1833" i="1"/>
  <c r="C1832" i="1"/>
  <c r="C1831" i="1"/>
  <c r="C1830" i="1"/>
  <c r="C1829" i="1"/>
  <c r="C1828" i="1"/>
  <c r="C1827" i="1"/>
  <c r="C1826" i="1"/>
  <c r="C1825" i="1"/>
  <c r="C1824" i="1"/>
  <c r="C1823" i="1"/>
  <c r="C1822" i="1"/>
  <c r="C1821" i="1"/>
  <c r="C1820" i="1"/>
  <c r="C1819" i="1"/>
  <c r="C1818" i="1"/>
  <c r="C1817" i="1"/>
  <c r="C1816" i="1"/>
  <c r="C1815" i="1"/>
  <c r="C1814" i="1"/>
  <c r="C1813" i="1"/>
  <c r="C1812" i="1"/>
  <c r="C1811" i="1"/>
  <c r="C1810" i="1"/>
  <c r="C1809" i="1"/>
  <c r="C1808" i="1"/>
  <c r="C1807" i="1"/>
  <c r="C1806" i="1"/>
  <c r="C1805" i="1"/>
  <c r="C1804" i="1"/>
  <c r="C1803" i="1"/>
  <c r="C1802" i="1"/>
  <c r="C1801" i="1"/>
  <c r="C1800" i="1"/>
  <c r="C1799" i="1"/>
  <c r="C1798" i="1"/>
  <c r="C1797" i="1"/>
  <c r="C1796" i="1"/>
  <c r="C1795" i="1"/>
  <c r="C1794" i="1"/>
  <c r="C1793" i="1"/>
  <c r="C1792" i="1"/>
  <c r="C1791" i="1"/>
  <c r="C1790" i="1"/>
  <c r="C1789" i="1"/>
  <c r="C1788" i="1"/>
  <c r="C1787" i="1"/>
  <c r="C1786" i="1"/>
  <c r="C1785" i="1"/>
  <c r="C1784" i="1"/>
  <c r="C1783" i="1"/>
  <c r="C1782" i="1"/>
  <c r="C1781" i="1"/>
  <c r="C1780" i="1"/>
  <c r="C1779" i="1"/>
  <c r="C1778" i="1"/>
  <c r="C1777" i="1"/>
  <c r="C1776" i="1"/>
  <c r="C1775" i="1"/>
  <c r="C1774" i="1"/>
  <c r="C1773" i="1"/>
  <c r="C1772" i="1"/>
  <c r="C1771" i="1"/>
  <c r="C1770" i="1"/>
  <c r="C1769" i="1"/>
  <c r="C1768" i="1"/>
  <c r="C1767" i="1"/>
  <c r="C1766" i="1"/>
  <c r="C1765" i="1"/>
  <c r="C1764" i="1"/>
  <c r="C1763" i="1"/>
  <c r="C1762" i="1"/>
  <c r="C1761" i="1"/>
  <c r="C1760" i="1"/>
  <c r="C1759" i="1"/>
  <c r="C1758" i="1"/>
  <c r="C1757" i="1"/>
  <c r="C1756" i="1"/>
  <c r="C1755" i="1"/>
  <c r="C1754" i="1"/>
  <c r="C1753" i="1"/>
  <c r="C1752" i="1"/>
  <c r="C1751" i="1"/>
  <c r="C1750" i="1"/>
  <c r="C1749" i="1"/>
  <c r="C1748" i="1"/>
  <c r="C1747" i="1"/>
  <c r="C1746" i="1"/>
  <c r="C1745" i="1"/>
  <c r="C1744" i="1"/>
  <c r="C1743" i="1"/>
  <c r="C1742" i="1"/>
  <c r="C1741" i="1"/>
  <c r="C1740" i="1"/>
  <c r="C1739" i="1"/>
  <c r="C1738" i="1"/>
  <c r="C1737" i="1"/>
  <c r="C1736" i="1"/>
  <c r="C1735" i="1"/>
  <c r="C1734" i="1"/>
  <c r="C1733" i="1"/>
  <c r="C1732" i="1"/>
  <c r="C1731" i="1"/>
  <c r="C1730" i="1"/>
  <c r="C1729" i="1"/>
  <c r="C1728" i="1"/>
  <c r="C1727" i="1"/>
  <c r="C1726" i="1"/>
  <c r="C1725" i="1"/>
  <c r="C1724" i="1"/>
  <c r="C1723" i="1"/>
  <c r="C1722" i="1"/>
  <c r="C1721" i="1"/>
  <c r="C1720" i="1"/>
  <c r="C1719" i="1"/>
  <c r="C1718" i="1"/>
  <c r="C1717" i="1"/>
  <c r="C1716" i="1"/>
  <c r="C1715" i="1"/>
  <c r="C1714" i="1"/>
  <c r="C1713" i="1"/>
  <c r="C1712" i="1"/>
  <c r="C1711" i="1"/>
  <c r="C1710" i="1"/>
  <c r="C1709" i="1"/>
  <c r="C1708" i="1"/>
  <c r="C1707" i="1"/>
  <c r="C1706" i="1"/>
  <c r="C1705" i="1"/>
  <c r="C1704" i="1"/>
  <c r="C1703" i="1"/>
  <c r="C1702" i="1"/>
  <c r="C1701" i="1"/>
  <c r="C1700" i="1"/>
  <c r="C1699" i="1"/>
  <c r="C1698" i="1"/>
  <c r="C1697" i="1"/>
  <c r="C1696" i="1"/>
  <c r="C1695" i="1"/>
  <c r="C1694" i="1"/>
  <c r="C1693" i="1"/>
  <c r="C1692" i="1"/>
  <c r="C1691" i="1"/>
  <c r="C1690" i="1"/>
  <c r="C1689" i="1"/>
  <c r="C1688" i="1"/>
  <c r="C1687" i="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C1581" i="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7"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C1479" i="1"/>
  <c r="C1478" i="1"/>
  <c r="C1477" i="1"/>
  <c r="C1476" i="1"/>
  <c r="C1475" i="1"/>
  <c r="C1474" i="1"/>
  <c r="C1473" i="1"/>
  <c r="C1472" i="1"/>
  <c r="C1471" i="1"/>
  <c r="C1470" i="1"/>
  <c r="C1469" i="1"/>
  <c r="C1468" i="1"/>
  <c r="C1467" i="1"/>
  <c r="C1466" i="1"/>
  <c r="C1465" i="1"/>
  <c r="C1464" i="1"/>
  <c r="C1463" i="1"/>
  <c r="C1462" i="1"/>
  <c r="C1461" i="1"/>
  <c r="C1460" i="1"/>
  <c r="C1459" i="1"/>
  <c r="C1458" i="1"/>
  <c r="C1457" i="1"/>
  <c r="C1456" i="1"/>
  <c r="C1455" i="1"/>
  <c r="C1454" i="1"/>
  <c r="C1453" i="1"/>
  <c r="C1452" i="1"/>
  <c r="C1451" i="1"/>
  <c r="C1450" i="1"/>
  <c r="C1449" i="1"/>
  <c r="C1448" i="1"/>
  <c r="C1447" i="1"/>
  <c r="C1446" i="1"/>
  <c r="C1445" i="1"/>
  <c r="C1444" i="1"/>
  <c r="C1443" i="1"/>
  <c r="C1442" i="1"/>
  <c r="C1441" i="1"/>
  <c r="C1440" i="1"/>
  <c r="C1439" i="1"/>
  <c r="C1438" i="1"/>
  <c r="C1437" i="1"/>
  <c r="C1436" i="1"/>
  <c r="C1435" i="1"/>
  <c r="C1434" i="1"/>
  <c r="C1433" i="1"/>
  <c r="C1432" i="1"/>
  <c r="C1431" i="1"/>
  <c r="C1430" i="1"/>
  <c r="C1429" i="1"/>
  <c r="C1428" i="1"/>
  <c r="C1427" i="1"/>
  <c r="C1426" i="1"/>
  <c r="C1425" i="1"/>
  <c r="C1424" i="1"/>
  <c r="C1423" i="1"/>
  <c r="C1422" i="1"/>
  <c r="C1421" i="1"/>
  <c r="C1420" i="1"/>
  <c r="C1419" i="1"/>
  <c r="C1418" i="1"/>
  <c r="C1417" i="1"/>
  <c r="C1416" i="1"/>
  <c r="C1415" i="1"/>
  <c r="C1414" i="1"/>
  <c r="C1413" i="1"/>
  <c r="C1412" i="1"/>
  <c r="C1411" i="1"/>
  <c r="C1410" i="1"/>
  <c r="C1409" i="1"/>
  <c r="C1408" i="1"/>
  <c r="C1407" i="1"/>
  <c r="C1406" i="1"/>
  <c r="C1405" i="1"/>
  <c r="C1404" i="1"/>
  <c r="C1403" i="1"/>
  <c r="C1402" i="1"/>
  <c r="C1401" i="1"/>
  <c r="C1400" i="1"/>
  <c r="C1399" i="1"/>
  <c r="C1398" i="1"/>
  <c r="C1397" i="1"/>
  <c r="C1396" i="1"/>
  <c r="C1395" i="1"/>
  <c r="C1394" i="1"/>
  <c r="C1393" i="1"/>
  <c r="C1392" i="1"/>
  <c r="C1391" i="1"/>
  <c r="C1390" i="1"/>
  <c r="C1389" i="1"/>
  <c r="C1388" i="1"/>
  <c r="C1387" i="1"/>
  <c r="C1386" i="1"/>
  <c r="C1385" i="1"/>
  <c r="C1384" i="1"/>
  <c r="C1383" i="1"/>
  <c r="C1382" i="1"/>
  <c r="C1381" i="1"/>
  <c r="C1380" i="1"/>
  <c r="C1379" i="1"/>
  <c r="C1378" i="1"/>
  <c r="C1377" i="1"/>
  <c r="C1376" i="1"/>
  <c r="C1375" i="1"/>
  <c r="C1374" i="1"/>
  <c r="C1373" i="1"/>
  <c r="C1372" i="1"/>
  <c r="C1371" i="1"/>
  <c r="C1370" i="1"/>
  <c r="C1369" i="1"/>
  <c r="C1368" i="1"/>
  <c r="C1367" i="1"/>
  <c r="C1366" i="1"/>
  <c r="C1365" i="1"/>
  <c r="C1364" i="1"/>
  <c r="C1363" i="1"/>
  <c r="C1362" i="1"/>
  <c r="C1361" i="1"/>
  <c r="C1360" i="1"/>
  <c r="C1359" i="1"/>
  <c r="C1358" i="1"/>
  <c r="C1357" i="1"/>
  <c r="C1356" i="1"/>
  <c r="C1355" i="1"/>
  <c r="C1354" i="1"/>
  <c r="C1353" i="1"/>
  <c r="C1352" i="1"/>
  <c r="C1351" i="1"/>
  <c r="C1350" i="1"/>
  <c r="C1349" i="1"/>
  <c r="C1348" i="1"/>
  <c r="C1347" i="1"/>
  <c r="C1346" i="1"/>
  <c r="C1345" i="1"/>
  <c r="C1344" i="1"/>
  <c r="C1343" i="1"/>
  <c r="C1342" i="1"/>
  <c r="C1341" i="1"/>
  <c r="C1340" i="1"/>
  <c r="C1339" i="1"/>
  <c r="C1338" i="1"/>
  <c r="C1337" i="1"/>
  <c r="C1336" i="1"/>
  <c r="C1335" i="1"/>
  <c r="C1334" i="1"/>
  <c r="C1333" i="1"/>
  <c r="C1332" i="1"/>
  <c r="C1331" i="1"/>
  <c r="C1330" i="1"/>
  <c r="C1329" i="1"/>
  <c r="C1328" i="1"/>
  <c r="C1327" i="1"/>
  <c r="C1326" i="1"/>
  <c r="C1325" i="1"/>
  <c r="C1324" i="1"/>
  <c r="C1323" i="1"/>
  <c r="C1322" i="1"/>
  <c r="C1321" i="1"/>
  <c r="C1320" i="1"/>
  <c r="C1319" i="1"/>
  <c r="C1318" i="1"/>
  <c r="C1317" i="1"/>
  <c r="C1316" i="1"/>
  <c r="C1315" i="1"/>
  <c r="C1314" i="1"/>
  <c r="C1313" i="1"/>
  <c r="C1312" i="1"/>
  <c r="C1311" i="1"/>
  <c r="C1310" i="1"/>
  <c r="C1309" i="1"/>
  <c r="C1308" i="1"/>
  <c r="C1307" i="1"/>
  <c r="C1306" i="1"/>
  <c r="C1305" i="1"/>
  <c r="C1304" i="1"/>
  <c r="C1303" i="1"/>
  <c r="C1302" i="1"/>
  <c r="C1301" i="1"/>
  <c r="C1300" i="1"/>
  <c r="C1299" i="1"/>
  <c r="C1298" i="1"/>
  <c r="C1297" i="1"/>
  <c r="C1296" i="1"/>
  <c r="C1295" i="1"/>
  <c r="C1294" i="1"/>
  <c r="C1293" i="1"/>
  <c r="C1292" i="1"/>
  <c r="C1291" i="1"/>
  <c r="C1290" i="1"/>
  <c r="C1289" i="1"/>
  <c r="C1288" i="1"/>
  <c r="C1287" i="1"/>
  <c r="C1286" i="1"/>
  <c r="C1285" i="1"/>
  <c r="C1284" i="1"/>
  <c r="C1283" i="1"/>
  <c r="C1282" i="1"/>
  <c r="C1281" i="1"/>
  <c r="C1280" i="1"/>
  <c r="C1279" i="1"/>
  <c r="C1278" i="1"/>
  <c r="C1277" i="1"/>
  <c r="C1276" i="1"/>
  <c r="C1275" i="1"/>
  <c r="C1274" i="1"/>
  <c r="C1273" i="1"/>
  <c r="C1272" i="1"/>
  <c r="C1271" i="1"/>
  <c r="C1270" i="1"/>
  <c r="C1269" i="1"/>
  <c r="C1268" i="1"/>
  <c r="C1267" i="1"/>
  <c r="C1266" i="1"/>
  <c r="C1265" i="1"/>
  <c r="C1264" i="1"/>
  <c r="C1263" i="1"/>
  <c r="C1262" i="1"/>
  <c r="C1261" i="1"/>
  <c r="C1260" i="1"/>
  <c r="C1259" i="1"/>
  <c r="C1258" i="1"/>
  <c r="C1257" i="1"/>
  <c r="C1256" i="1"/>
  <c r="C1255" i="1"/>
  <c r="C1254" i="1"/>
  <c r="C1253" i="1"/>
  <c r="C1252" i="1"/>
  <c r="C1251" i="1"/>
  <c r="C1250" i="1"/>
  <c r="C1249" i="1"/>
  <c r="C1248" i="1"/>
  <c r="C1247" i="1"/>
  <c r="C1246" i="1"/>
  <c r="C1245" i="1"/>
  <c r="C1244" i="1"/>
  <c r="C1243" i="1"/>
  <c r="C1242" i="1"/>
  <c r="C1241" i="1"/>
  <c r="C1240" i="1"/>
  <c r="C1239" i="1"/>
  <c r="C1238" i="1"/>
  <c r="C1237" i="1"/>
  <c r="C1236" i="1"/>
  <c r="C1235" i="1"/>
  <c r="C1234" i="1"/>
  <c r="C1233" i="1"/>
  <c r="C1232" i="1"/>
  <c r="C1231" i="1"/>
  <c r="C1230" i="1"/>
  <c r="C1229" i="1"/>
  <c r="C1228" i="1"/>
  <c r="C1227" i="1"/>
  <c r="C1226" i="1"/>
  <c r="C1225" i="1"/>
  <c r="C1224" i="1"/>
  <c r="C1223" i="1"/>
  <c r="C1222" i="1"/>
  <c r="C1221" i="1"/>
  <c r="C1220" i="1"/>
  <c r="C1219" i="1"/>
  <c r="C1218" i="1"/>
  <c r="C1217" i="1"/>
  <c r="C1216" i="1"/>
  <c r="C1215" i="1"/>
  <c r="C1214" i="1"/>
  <c r="C1213" i="1"/>
  <c r="C1212" i="1"/>
  <c r="C1211" i="1"/>
  <c r="C1210" i="1"/>
  <c r="C1209" i="1"/>
  <c r="C1208" i="1"/>
  <c r="C1207" i="1"/>
  <c r="C1206" i="1"/>
  <c r="C1205" i="1"/>
  <c r="C1204" i="1"/>
  <c r="C1203" i="1"/>
  <c r="C1202" i="1"/>
  <c r="C1201" i="1"/>
  <c r="C1200" i="1"/>
  <c r="C1199" i="1"/>
  <c r="C1198" i="1"/>
  <c r="C1197" i="1"/>
  <c r="C1196" i="1"/>
  <c r="C1195" i="1"/>
  <c r="C1194" i="1"/>
  <c r="C1193" i="1"/>
  <c r="C1192" i="1"/>
  <c r="C1191" i="1"/>
  <c r="C1190" i="1"/>
  <c r="C1189" i="1"/>
  <c r="C1188" i="1"/>
  <c r="C1187" i="1"/>
  <c r="C1186" i="1"/>
  <c r="C1185" i="1"/>
  <c r="C1184" i="1"/>
  <c r="C1183" i="1"/>
  <c r="C1182" i="1"/>
  <c r="C1181" i="1"/>
  <c r="C1180" i="1"/>
  <c r="C1179" i="1"/>
  <c r="C1178" i="1"/>
  <c r="C1177" i="1"/>
  <c r="C1176" i="1"/>
  <c r="C1175" i="1"/>
  <c r="C1174" i="1"/>
  <c r="C1173" i="1"/>
  <c r="C1172" i="1"/>
  <c r="C1171" i="1"/>
  <c r="C1170" i="1"/>
  <c r="C1169" i="1"/>
  <c r="C1168" i="1"/>
  <c r="C1167" i="1"/>
  <c r="C1166" i="1"/>
  <c r="C1165" i="1"/>
  <c r="C1164" i="1"/>
  <c r="C1163" i="1"/>
  <c r="C1162" i="1"/>
  <c r="C1161" i="1"/>
  <c r="C1160" i="1"/>
  <c r="C1159" i="1"/>
  <c r="C1158" i="1"/>
  <c r="C1157" i="1"/>
  <c r="C1156" i="1"/>
  <c r="C1155" i="1"/>
  <c r="C1154" i="1"/>
  <c r="C1153" i="1"/>
  <c r="C1152" i="1"/>
  <c r="C1151" i="1"/>
  <c r="C1150" i="1"/>
  <c r="C1149" i="1"/>
  <c r="C1148" i="1"/>
  <c r="C1147" i="1"/>
  <c r="C1146" i="1"/>
  <c r="C1145" i="1"/>
  <c r="C1144" i="1"/>
  <c r="C1143" i="1"/>
  <c r="C1142" i="1"/>
  <c r="C1141" i="1"/>
  <c r="C1140" i="1"/>
  <c r="C1139" i="1"/>
  <c r="C1138" i="1"/>
  <c r="C1137" i="1"/>
  <c r="C1136" i="1"/>
  <c r="C1135" i="1"/>
  <c r="C1134" i="1"/>
  <c r="C1133" i="1"/>
  <c r="C1132" i="1"/>
  <c r="C1131" i="1"/>
  <c r="C1130" i="1"/>
  <c r="C1129" i="1"/>
  <c r="C1128" i="1"/>
  <c r="C1127" i="1"/>
  <c r="C1126" i="1"/>
  <c r="C1125" i="1"/>
  <c r="C1124" i="1"/>
  <c r="C1123" i="1"/>
  <c r="C1122" i="1"/>
  <c r="C1121" i="1"/>
  <c r="C1120" i="1"/>
  <c r="C1119" i="1"/>
  <c r="C1118" i="1"/>
  <c r="C1117" i="1"/>
  <c r="C1116" i="1"/>
  <c r="C1115" i="1"/>
  <c r="C1114" i="1"/>
  <c r="C1113" i="1"/>
  <c r="C1112" i="1"/>
  <c r="C1111" i="1"/>
  <c r="C1110" i="1"/>
  <c r="C1109" i="1"/>
  <c r="C1108" i="1"/>
  <c r="C1107" i="1"/>
  <c r="C1106" i="1"/>
  <c r="C1105" i="1"/>
  <c r="C1104" i="1"/>
  <c r="C1103" i="1"/>
  <c r="C1102" i="1"/>
  <c r="C1101" i="1"/>
  <c r="C1100" i="1"/>
  <c r="C1099" i="1"/>
  <c r="C1098" i="1"/>
  <c r="C1097" i="1"/>
  <c r="C1096" i="1"/>
  <c r="C1095" i="1"/>
  <c r="C1094" i="1"/>
  <c r="C1093" i="1"/>
  <c r="C1092" i="1"/>
  <c r="C1091" i="1"/>
  <c r="C1090" i="1"/>
  <c r="C1089" i="1"/>
  <c r="C1088" i="1"/>
  <c r="C1087" i="1"/>
  <c r="C1086" i="1"/>
  <c r="C1085" i="1"/>
  <c r="C1084" i="1"/>
  <c r="C1083" i="1"/>
  <c r="C1082" i="1"/>
  <c r="C1081" i="1"/>
  <c r="C1080" i="1"/>
  <c r="C1079" i="1"/>
  <c r="C1078" i="1"/>
  <c r="C1077" i="1"/>
  <c r="C1076" i="1"/>
  <c r="C1075" i="1"/>
  <c r="C1074" i="1"/>
  <c r="C1073" i="1"/>
  <c r="C1072" i="1"/>
  <c r="C1071" i="1"/>
  <c r="C1070" i="1"/>
  <c r="C1069" i="1"/>
  <c r="C1068" i="1"/>
  <c r="C1067" i="1"/>
  <c r="C1066" i="1"/>
  <c r="C1065" i="1"/>
  <c r="C1064" i="1"/>
  <c r="C1063" i="1"/>
  <c r="C1062" i="1"/>
  <c r="C1061" i="1"/>
  <c r="C1060" i="1"/>
  <c r="C1059" i="1"/>
  <c r="C1058" i="1"/>
  <c r="C1057" i="1"/>
  <c r="C1056" i="1"/>
  <c r="C1055" i="1"/>
  <c r="C1054" i="1"/>
  <c r="C1053" i="1"/>
  <c r="C1052" i="1"/>
  <c r="C1051" i="1"/>
  <c r="C1050" i="1"/>
  <c r="C1049" i="1"/>
  <c r="C1048" i="1"/>
  <c r="C1047" i="1"/>
  <c r="C1046" i="1"/>
  <c r="C1045" i="1"/>
  <c r="C1044" i="1"/>
  <c r="C1043" i="1"/>
  <c r="C1042" i="1"/>
  <c r="C1041" i="1"/>
  <c r="C1040" i="1"/>
  <c r="C1039" i="1"/>
  <c r="C1038" i="1"/>
  <c r="C1037" i="1"/>
  <c r="C1036" i="1"/>
  <c r="C1035" i="1"/>
  <c r="C1034" i="1"/>
  <c r="C1033" i="1"/>
  <c r="C1032" i="1"/>
  <c r="C1031" i="1"/>
  <c r="C1030" i="1"/>
  <c r="C1029" i="1"/>
  <c r="C1028" i="1"/>
  <c r="C1027" i="1"/>
  <c r="C1026" i="1"/>
  <c r="C1025" i="1"/>
  <c r="C1024" i="1"/>
  <c r="C1023" i="1"/>
  <c r="C1022" i="1"/>
  <c r="C1021" i="1"/>
  <c r="C1020" i="1"/>
  <c r="C1019" i="1"/>
  <c r="C1018" i="1"/>
  <c r="C1017" i="1"/>
  <c r="C1016" i="1"/>
  <c r="C1015" i="1"/>
  <c r="C1014" i="1"/>
  <c r="C1013" i="1"/>
  <c r="C1012" i="1"/>
  <c r="C1011" i="1"/>
  <c r="C1010" i="1"/>
  <c r="C1009" i="1"/>
  <c r="C1008" i="1"/>
  <c r="C1007" i="1"/>
  <c r="C1006" i="1"/>
  <c r="C1005" i="1"/>
  <c r="C1004" i="1"/>
  <c r="C1003" i="1"/>
  <c r="C1002" i="1"/>
  <c r="C1001" i="1"/>
  <c r="C1000" i="1"/>
  <c r="C999" i="1"/>
  <c r="C998" i="1"/>
  <c r="C997" i="1"/>
  <c r="C996" i="1"/>
  <c r="C995" i="1"/>
  <c r="C994" i="1"/>
  <c r="C993" i="1"/>
  <c r="C992" i="1"/>
  <c r="C991" i="1"/>
  <c r="C990" i="1"/>
  <c r="C989" i="1"/>
  <c r="C988" i="1"/>
  <c r="C987" i="1"/>
  <c r="C986" i="1"/>
  <c r="C985" i="1"/>
  <c r="C984" i="1"/>
  <c r="C983" i="1"/>
  <c r="C982" i="1"/>
  <c r="C981" i="1"/>
  <c r="C980" i="1"/>
  <c r="C979" i="1"/>
  <c r="C978" i="1"/>
  <c r="C977" i="1"/>
  <c r="C976" i="1"/>
  <c r="C975" i="1"/>
  <c r="C974" i="1"/>
  <c r="C973" i="1"/>
  <c r="C972" i="1"/>
  <c r="C971" i="1"/>
  <c r="C970" i="1"/>
  <c r="C969" i="1"/>
  <c r="C968" i="1"/>
  <c r="C967" i="1"/>
  <c r="C966" i="1"/>
  <c r="C965" i="1"/>
  <c r="C964" i="1"/>
  <c r="C963" i="1"/>
  <c r="C962" i="1"/>
  <c r="C961" i="1"/>
  <c r="C960" i="1"/>
  <c r="C959" i="1"/>
  <c r="C958" i="1"/>
  <c r="C957" i="1"/>
  <c r="C956" i="1"/>
  <c r="C955" i="1"/>
  <c r="C954" i="1"/>
  <c r="C953" i="1"/>
  <c r="C952" i="1"/>
  <c r="C951" i="1"/>
  <c r="C950" i="1"/>
  <c r="C949" i="1"/>
  <c r="C948" i="1"/>
  <c r="C947" i="1"/>
  <c r="C946" i="1"/>
  <c r="C945" i="1"/>
  <c r="C944" i="1"/>
  <c r="C943" i="1"/>
  <c r="C942" i="1"/>
  <c r="C941" i="1"/>
  <c r="C940" i="1"/>
  <c r="C939" i="1"/>
  <c r="C938" i="1"/>
  <c r="C937" i="1"/>
  <c r="C936" i="1"/>
  <c r="C935" i="1"/>
  <c r="C934" i="1"/>
  <c r="C933" i="1"/>
  <c r="C932" i="1"/>
  <c r="C931" i="1"/>
  <c r="C930" i="1"/>
  <c r="C929" i="1"/>
  <c r="C928" i="1"/>
  <c r="C927" i="1"/>
  <c r="C926" i="1"/>
  <c r="C925" i="1"/>
  <c r="C924" i="1"/>
  <c r="C923" i="1"/>
  <c r="C922" i="1"/>
  <c r="C921" i="1"/>
  <c r="C920" i="1"/>
  <c r="C919" i="1"/>
  <c r="C918" i="1"/>
  <c r="C917" i="1"/>
  <c r="C916" i="1"/>
  <c r="C915" i="1"/>
  <c r="C914" i="1"/>
  <c r="C913" i="1"/>
  <c r="C912" i="1"/>
  <c r="C911" i="1"/>
  <c r="C910" i="1"/>
  <c r="C909" i="1"/>
  <c r="C908" i="1"/>
  <c r="C907" i="1"/>
  <c r="C906" i="1"/>
  <c r="C905" i="1"/>
  <c r="C904" i="1"/>
  <c r="C903" i="1"/>
  <c r="C902" i="1"/>
  <c r="C901" i="1"/>
  <c r="C900" i="1"/>
  <c r="C899" i="1"/>
  <c r="C898" i="1"/>
  <c r="C897" i="1"/>
  <c r="C896" i="1"/>
  <c r="C895" i="1"/>
  <c r="C894" i="1"/>
  <c r="C893" i="1"/>
  <c r="C892" i="1"/>
  <c r="C891" i="1"/>
  <c r="C890" i="1"/>
  <c r="C889" i="1"/>
  <c r="C888" i="1"/>
  <c r="C887" i="1"/>
  <c r="C886" i="1"/>
  <c r="C885" i="1"/>
  <c r="C884" i="1"/>
  <c r="C883" i="1"/>
  <c r="C882" i="1"/>
  <c r="C881" i="1"/>
  <c r="C880" i="1"/>
  <c r="C879" i="1"/>
  <c r="C878" i="1"/>
  <c r="C877" i="1"/>
  <c r="C876" i="1"/>
  <c r="C875" i="1"/>
  <c r="C874" i="1"/>
  <c r="C873" i="1"/>
  <c r="C872" i="1"/>
  <c r="C871" i="1"/>
  <c r="C870" i="1"/>
  <c r="C869" i="1"/>
  <c r="C868" i="1"/>
  <c r="C867" i="1"/>
  <c r="C866" i="1"/>
  <c r="C865" i="1"/>
  <c r="C864" i="1"/>
  <c r="C863" i="1"/>
  <c r="C862" i="1"/>
  <c r="C861" i="1"/>
  <c r="C860" i="1"/>
  <c r="C859" i="1"/>
  <c r="C858" i="1"/>
  <c r="C857" i="1"/>
  <c r="C856" i="1"/>
  <c r="C855" i="1"/>
  <c r="C854" i="1"/>
  <c r="C853" i="1"/>
  <c r="C852" i="1"/>
  <c r="C851" i="1"/>
  <c r="C850" i="1"/>
  <c r="C849" i="1"/>
  <c r="C848" i="1"/>
  <c r="C847" i="1"/>
  <c r="C846" i="1"/>
  <c r="C845" i="1"/>
  <c r="C844" i="1"/>
  <c r="C843" i="1"/>
  <c r="C842" i="1"/>
  <c r="C841" i="1"/>
  <c r="C840" i="1"/>
  <c r="C839" i="1"/>
  <c r="C838" i="1"/>
  <c r="C837" i="1"/>
  <c r="C836" i="1"/>
  <c r="C835" i="1"/>
  <c r="C834" i="1"/>
  <c r="C833" i="1"/>
  <c r="C832" i="1"/>
  <c r="C831" i="1"/>
  <c r="C830" i="1"/>
  <c r="C829" i="1"/>
  <c r="C828" i="1"/>
  <c r="C827" i="1"/>
  <c r="C826" i="1"/>
  <c r="C825" i="1"/>
  <c r="C824" i="1"/>
  <c r="C823" i="1"/>
  <c r="C822" i="1"/>
  <c r="C821" i="1"/>
  <c r="C820" i="1"/>
  <c r="C819" i="1"/>
  <c r="C818" i="1"/>
  <c r="C817" i="1"/>
  <c r="C816" i="1"/>
  <c r="C815" i="1"/>
  <c r="C814" i="1"/>
  <c r="C813" i="1"/>
  <c r="C812" i="1"/>
  <c r="C811" i="1"/>
  <c r="C810" i="1"/>
  <c r="C809" i="1"/>
  <c r="C808" i="1"/>
  <c r="C807" i="1"/>
  <c r="C806" i="1"/>
  <c r="C805" i="1"/>
  <c r="C804" i="1"/>
  <c r="C803" i="1"/>
  <c r="C802" i="1"/>
  <c r="C801" i="1"/>
  <c r="C800" i="1"/>
  <c r="C799" i="1"/>
  <c r="C798" i="1"/>
  <c r="C797" i="1"/>
  <c r="C796" i="1"/>
  <c r="C795" i="1"/>
  <c r="C794" i="1"/>
  <c r="C793" i="1"/>
  <c r="C792" i="1"/>
  <c r="C791" i="1"/>
  <c r="C790" i="1"/>
  <c r="C789" i="1"/>
  <c r="C788" i="1"/>
  <c r="C787" i="1"/>
  <c r="C786" i="1"/>
  <c r="C785" i="1"/>
  <c r="C784" i="1"/>
  <c r="C783" i="1"/>
  <c r="C782" i="1"/>
  <c r="C781" i="1"/>
  <c r="C780" i="1"/>
  <c r="C779" i="1"/>
  <c r="C778" i="1"/>
  <c r="C777" i="1"/>
  <c r="C776" i="1"/>
  <c r="C775" i="1"/>
  <c r="C774" i="1"/>
  <c r="C773" i="1"/>
  <c r="C772" i="1"/>
  <c r="C771" i="1"/>
  <c r="C770" i="1"/>
  <c r="C769" i="1"/>
  <c r="C768" i="1"/>
  <c r="C767" i="1"/>
  <c r="C766" i="1"/>
  <c r="C765" i="1"/>
  <c r="C764" i="1"/>
  <c r="C763" i="1"/>
  <c r="C762" i="1"/>
  <c r="C761" i="1"/>
  <c r="C760" i="1"/>
  <c r="C759" i="1"/>
  <c r="C758" i="1"/>
  <c r="C757" i="1"/>
  <c r="C756" i="1"/>
  <c r="C755" i="1"/>
  <c r="C754" i="1"/>
  <c r="C753" i="1"/>
  <c r="C752" i="1"/>
  <c r="C751" i="1"/>
  <c r="C750" i="1"/>
  <c r="C749" i="1"/>
  <c r="C748" i="1"/>
  <c r="C747" i="1"/>
  <c r="C746" i="1"/>
  <c r="C745" i="1"/>
  <c r="C744" i="1"/>
  <c r="C743" i="1"/>
  <c r="C742" i="1"/>
  <c r="C741" i="1"/>
  <c r="C740" i="1"/>
  <c r="C739" i="1"/>
  <c r="C738" i="1"/>
  <c r="C737" i="1"/>
  <c r="C736" i="1"/>
  <c r="C735" i="1"/>
  <c r="C734" i="1"/>
  <c r="C733" i="1"/>
  <c r="C732" i="1"/>
  <c r="C731" i="1"/>
  <c r="C730" i="1"/>
  <c r="C729" i="1"/>
  <c r="C728" i="1"/>
  <c r="C727" i="1"/>
  <c r="C726" i="1"/>
  <c r="C725" i="1"/>
  <c r="C724" i="1"/>
  <c r="C723" i="1"/>
  <c r="C722" i="1"/>
  <c r="C721" i="1"/>
  <c r="C720" i="1"/>
  <c r="C719" i="1"/>
  <c r="C718" i="1"/>
  <c r="C717" i="1"/>
  <c r="C716" i="1"/>
  <c r="C715" i="1"/>
  <c r="C714" i="1"/>
  <c r="C713" i="1"/>
  <c r="C712" i="1"/>
  <c r="C711" i="1"/>
  <c r="C710" i="1"/>
  <c r="C709" i="1"/>
  <c r="C708" i="1"/>
  <c r="C707" i="1"/>
  <c r="C706" i="1"/>
  <c r="C705" i="1"/>
  <c r="C704" i="1"/>
  <c r="C703" i="1"/>
  <c r="C702" i="1"/>
  <c r="C701" i="1"/>
  <c r="C700" i="1"/>
  <c r="C699" i="1"/>
  <c r="C698" i="1"/>
  <c r="C697" i="1"/>
  <c r="C696" i="1"/>
  <c r="C695" i="1"/>
  <c r="C694" i="1"/>
  <c r="C693" i="1"/>
  <c r="C692" i="1"/>
  <c r="C691" i="1"/>
  <c r="C690" i="1"/>
  <c r="C689" i="1"/>
  <c r="C688" i="1"/>
  <c r="C687" i="1"/>
  <c r="C686" i="1"/>
  <c r="C685" i="1"/>
  <c r="C684" i="1"/>
  <c r="C683" i="1"/>
  <c r="C682" i="1"/>
  <c r="C681" i="1"/>
  <c r="C680" i="1"/>
  <c r="C679" i="1"/>
  <c r="C678" i="1"/>
  <c r="C677" i="1"/>
  <c r="C676" i="1"/>
  <c r="C675" i="1"/>
  <c r="C674" i="1"/>
  <c r="C673" i="1"/>
  <c r="C672" i="1"/>
  <c r="C671" i="1"/>
  <c r="C670" i="1"/>
  <c r="C669" i="1"/>
  <c r="C668" i="1"/>
  <c r="C667" i="1"/>
  <c r="C666" i="1"/>
  <c r="C665" i="1"/>
  <c r="C664" i="1"/>
  <c r="C663" i="1"/>
  <c r="C662" i="1"/>
  <c r="C661" i="1"/>
  <c r="C660" i="1"/>
  <c r="C659" i="1"/>
  <c r="C658" i="1"/>
  <c r="C657" i="1"/>
  <c r="C656" i="1"/>
  <c r="C655" i="1"/>
  <c r="C654" i="1"/>
  <c r="C653" i="1"/>
  <c r="C652" i="1"/>
  <c r="C651" i="1"/>
  <c r="C650" i="1"/>
  <c r="C649" i="1"/>
  <c r="C648" i="1"/>
  <c r="C647" i="1"/>
  <c r="C646" i="1"/>
  <c r="C645" i="1"/>
  <c r="C644" i="1"/>
  <c r="C643" i="1"/>
  <c r="C642" i="1"/>
  <c r="C641" i="1"/>
  <c r="C640" i="1"/>
  <c r="C639" i="1"/>
  <c r="C638" i="1"/>
  <c r="C637" i="1"/>
  <c r="C636" i="1"/>
  <c r="C635" i="1"/>
  <c r="C634" i="1"/>
  <c r="C633" i="1"/>
  <c r="C632" i="1"/>
  <c r="C631" i="1"/>
  <c r="C630" i="1"/>
  <c r="C629" i="1"/>
  <c r="C628" i="1"/>
  <c r="C627" i="1"/>
  <c r="C626" i="1"/>
  <c r="C625" i="1"/>
  <c r="C624" i="1"/>
  <c r="C623" i="1"/>
  <c r="C622" i="1"/>
  <c r="C621" i="1"/>
  <c r="C620" i="1"/>
  <c r="C619" i="1"/>
  <c r="C618" i="1"/>
  <c r="C617" i="1"/>
  <c r="C616" i="1"/>
  <c r="C615" i="1"/>
  <c r="C614" i="1"/>
  <c r="C613" i="1"/>
  <c r="C612" i="1"/>
  <c r="C611" i="1"/>
  <c r="C610" i="1"/>
  <c r="C609" i="1"/>
  <c r="C608" i="1"/>
  <c r="C607" i="1"/>
  <c r="C606" i="1"/>
  <c r="C605" i="1"/>
  <c r="C604" i="1"/>
  <c r="C603" i="1"/>
  <c r="C602" i="1"/>
  <c r="C601" i="1"/>
  <c r="C600" i="1"/>
  <c r="C599" i="1"/>
  <c r="C598" i="1"/>
  <c r="C597" i="1"/>
  <c r="C596" i="1"/>
  <c r="C595" i="1"/>
  <c r="C594" i="1"/>
  <c r="C593" i="1"/>
  <c r="C592" i="1"/>
  <c r="C591" i="1"/>
  <c r="C590" i="1"/>
  <c r="C589" i="1"/>
  <c r="C588" i="1"/>
  <c r="C587" i="1"/>
  <c r="C586" i="1"/>
  <c r="C585" i="1"/>
  <c r="C584" i="1"/>
  <c r="C583" i="1"/>
  <c r="C582" i="1"/>
  <c r="C581" i="1"/>
  <c r="C580" i="1"/>
  <c r="C579" i="1"/>
  <c r="C578" i="1"/>
  <c r="C577" i="1"/>
  <c r="C576" i="1"/>
  <c r="C575" i="1"/>
  <c r="C574" i="1"/>
  <c r="C573" i="1"/>
  <c r="C572" i="1"/>
  <c r="C571" i="1"/>
  <c r="C570" i="1"/>
  <c r="C569" i="1"/>
  <c r="C568" i="1"/>
  <c r="C567" i="1"/>
  <c r="C566" i="1"/>
  <c r="C565" i="1"/>
  <c r="C564" i="1"/>
  <c r="C563" i="1"/>
  <c r="C562" i="1"/>
  <c r="C561" i="1"/>
  <c r="C560" i="1"/>
  <c r="C559" i="1"/>
  <c r="C558" i="1"/>
  <c r="C557" i="1"/>
  <c r="C556" i="1"/>
  <c r="C555" i="1"/>
  <c r="C554" i="1"/>
  <c r="C553" i="1"/>
  <c r="C552" i="1"/>
  <c r="C551" i="1"/>
  <c r="C550" i="1"/>
  <c r="C549" i="1"/>
  <c r="C548" i="1"/>
  <c r="C547" i="1"/>
  <c r="C546" i="1"/>
  <c r="C545" i="1"/>
  <c r="C544" i="1"/>
  <c r="C543" i="1"/>
  <c r="C542" i="1"/>
  <c r="C541" i="1"/>
  <c r="C540" i="1"/>
  <c r="C539" i="1"/>
  <c r="C538" i="1"/>
  <c r="C537" i="1"/>
  <c r="C536" i="1"/>
  <c r="C535" i="1"/>
  <c r="C534" i="1"/>
  <c r="C533" i="1"/>
  <c r="C532" i="1"/>
  <c r="C531" i="1"/>
  <c r="C530" i="1"/>
  <c r="C529" i="1"/>
  <c r="C528" i="1"/>
  <c r="C527" i="1"/>
  <c r="C526" i="1"/>
  <c r="C525" i="1"/>
  <c r="C524" i="1"/>
  <c r="C523" i="1"/>
  <c r="C522" i="1"/>
  <c r="C521" i="1"/>
  <c r="C520" i="1"/>
  <c r="C519" i="1"/>
  <c r="C518" i="1"/>
  <c r="C517" i="1"/>
  <c r="C516" i="1"/>
  <c r="C515" i="1"/>
  <c r="C514" i="1"/>
  <c r="C513" i="1"/>
  <c r="C512" i="1"/>
  <c r="C511" i="1"/>
  <c r="C510" i="1"/>
  <c r="C509" i="1"/>
  <c r="C508" i="1"/>
  <c r="C507" i="1"/>
  <c r="C506" i="1"/>
  <c r="C505" i="1"/>
  <c r="C504" i="1"/>
  <c r="C503" i="1"/>
  <c r="C502" i="1"/>
  <c r="C501" i="1"/>
  <c r="C500" i="1"/>
  <c r="C499" i="1"/>
  <c r="C498" i="1"/>
  <c r="C497" i="1"/>
  <c r="C496" i="1"/>
  <c r="C495" i="1"/>
  <c r="C494" i="1"/>
  <c r="C493" i="1"/>
  <c r="C492" i="1"/>
  <c r="C491" i="1"/>
  <c r="C490" i="1"/>
  <c r="C489" i="1"/>
  <c r="C488" i="1"/>
  <c r="C487" i="1"/>
  <c r="C486" i="1"/>
  <c r="C485" i="1"/>
  <c r="C484" i="1"/>
  <c r="C483" i="1"/>
  <c r="C482" i="1"/>
  <c r="C481" i="1"/>
  <c r="C480" i="1"/>
  <c r="C479" i="1"/>
  <c r="C478" i="1"/>
  <c r="C477" i="1"/>
  <c r="C476" i="1"/>
  <c r="C475" i="1"/>
  <c r="C474" i="1"/>
  <c r="C473" i="1"/>
  <c r="C472" i="1"/>
  <c r="C471" i="1"/>
  <c r="C470" i="1"/>
  <c r="C469" i="1"/>
  <c r="C468" i="1"/>
  <c r="C467" i="1"/>
  <c r="C466" i="1"/>
  <c r="C465" i="1"/>
  <c r="C464" i="1"/>
  <c r="C463" i="1"/>
  <c r="C462" i="1"/>
  <c r="C461" i="1"/>
  <c r="C460" i="1"/>
  <c r="C459" i="1"/>
  <c r="C458" i="1"/>
  <c r="C457" i="1"/>
  <c r="C456" i="1"/>
  <c r="C455" i="1"/>
  <c r="C454" i="1"/>
  <c r="C453" i="1"/>
  <c r="C452" i="1"/>
  <c r="C451" i="1"/>
  <c r="C450" i="1"/>
  <c r="C449" i="1"/>
  <c r="C448" i="1"/>
  <c r="C447" i="1"/>
  <c r="C446" i="1"/>
  <c r="C445" i="1"/>
  <c r="C444" i="1"/>
  <c r="C443" i="1"/>
  <c r="C442" i="1"/>
  <c r="C441" i="1"/>
  <c r="C440" i="1"/>
  <c r="C439" i="1"/>
  <c r="C438" i="1"/>
  <c r="C437" i="1"/>
  <c r="C436" i="1"/>
  <c r="C435" i="1"/>
  <c r="C434" i="1"/>
  <c r="C433" i="1"/>
  <c r="C432" i="1"/>
  <c r="C431" i="1"/>
  <c r="C430" i="1"/>
  <c r="C429" i="1"/>
  <c r="C428" i="1"/>
  <c r="C427" i="1"/>
  <c r="C426" i="1"/>
  <c r="C425" i="1"/>
  <c r="C424" i="1"/>
  <c r="C423" i="1"/>
  <c r="C422" i="1"/>
  <c r="C421" i="1"/>
  <c r="C420" i="1"/>
  <c r="C419" i="1"/>
  <c r="C418" i="1"/>
  <c r="C417" i="1"/>
  <c r="C416" i="1"/>
  <c r="C415" i="1"/>
  <c r="C414" i="1"/>
  <c r="C413" i="1"/>
  <c r="C412" i="1"/>
  <c r="C411" i="1"/>
  <c r="C410" i="1"/>
  <c r="C409" i="1"/>
  <c r="C408" i="1"/>
  <c r="C407" i="1"/>
  <c r="C406" i="1"/>
  <c r="C405" i="1"/>
  <c r="C404" i="1"/>
  <c r="C403" i="1"/>
  <c r="C402" i="1"/>
  <c r="C401" i="1"/>
  <c r="C400" i="1"/>
  <c r="C399" i="1"/>
  <c r="C398" i="1"/>
  <c r="C397" i="1"/>
  <c r="C396" i="1"/>
  <c r="C395" i="1"/>
  <c r="C394" i="1"/>
  <c r="C393" i="1"/>
  <c r="C392" i="1"/>
  <c r="C391" i="1"/>
  <c r="C390" i="1"/>
  <c r="C389" i="1"/>
  <c r="C388" i="1"/>
  <c r="C387" i="1"/>
  <c r="C386" i="1"/>
  <c r="C385" i="1"/>
  <c r="C384" i="1"/>
  <c r="C383" i="1"/>
  <c r="C382" i="1"/>
  <c r="C381" i="1"/>
  <c r="C380" i="1"/>
  <c r="C379" i="1"/>
  <c r="C378" i="1"/>
  <c r="C377" i="1"/>
  <c r="C376" i="1"/>
  <c r="C375" i="1"/>
  <c r="C374" i="1"/>
  <c r="C373" i="1"/>
  <c r="C372" i="1"/>
  <c r="C371" i="1"/>
  <c r="C370" i="1"/>
  <c r="C369" i="1"/>
  <c r="C368" i="1"/>
  <c r="C367" i="1"/>
  <c r="C366" i="1"/>
  <c r="C365" i="1"/>
  <c r="C364" i="1"/>
  <c r="C363" i="1"/>
  <c r="C362" i="1"/>
  <c r="C361" i="1"/>
  <c r="C360" i="1"/>
  <c r="C359" i="1"/>
  <c r="C358" i="1"/>
  <c r="C357" i="1"/>
  <c r="C356" i="1"/>
  <c r="C355" i="1"/>
  <c r="C354" i="1"/>
  <c r="C353" i="1"/>
  <c r="C352" i="1"/>
  <c r="C351" i="1"/>
  <c r="C350" i="1"/>
  <c r="C349" i="1"/>
  <c r="C348" i="1"/>
  <c r="C347" i="1"/>
  <c r="C346" i="1"/>
  <c r="C345" i="1"/>
  <c r="C344" i="1"/>
  <c r="C343" i="1"/>
  <c r="C342" i="1"/>
  <c r="C341" i="1"/>
  <c r="C340" i="1"/>
  <c r="C339" i="1"/>
  <c r="C338" i="1"/>
  <c r="C337" i="1"/>
  <c r="C336" i="1"/>
  <c r="C335" i="1"/>
  <c r="C334" i="1"/>
  <c r="C333" i="1"/>
  <c r="C332" i="1"/>
  <c r="C331" i="1"/>
  <c r="C330" i="1"/>
  <c r="C329" i="1"/>
  <c r="C328" i="1"/>
  <c r="C327" i="1"/>
  <c r="C326" i="1"/>
  <c r="C325" i="1"/>
  <c r="C324" i="1"/>
  <c r="C323" i="1"/>
  <c r="C322" i="1"/>
  <c r="C321" i="1"/>
  <c r="C320" i="1"/>
  <c r="C319" i="1"/>
  <c r="C318" i="1"/>
  <c r="C317" i="1"/>
  <c r="C316" i="1"/>
  <c r="C315" i="1"/>
  <c r="C314" i="1"/>
  <c r="C313" i="1"/>
  <c r="C312" i="1"/>
  <c r="C311" i="1"/>
  <c r="C310" i="1"/>
  <c r="C309" i="1"/>
  <c r="C308" i="1"/>
  <c r="C307" i="1"/>
  <c r="C306" i="1"/>
  <c r="C305" i="1"/>
  <c r="C304" i="1"/>
  <c r="C303" i="1"/>
  <c r="C302" i="1"/>
  <c r="C301" i="1"/>
  <c r="C300" i="1"/>
  <c r="C299" i="1"/>
  <c r="C298" i="1"/>
  <c r="C297" i="1"/>
  <c r="C296" i="1"/>
  <c r="C295" i="1"/>
  <c r="C294" i="1"/>
  <c r="C293" i="1"/>
  <c r="C292" i="1"/>
  <c r="C291" i="1"/>
  <c r="C290" i="1"/>
  <c r="C289" i="1"/>
  <c r="C288" i="1"/>
  <c r="C287" i="1"/>
  <c r="C286" i="1"/>
  <c r="C285" i="1"/>
  <c r="C284" i="1"/>
  <c r="C283" i="1"/>
  <c r="C282" i="1"/>
  <c r="C281" i="1"/>
  <c r="C280" i="1"/>
  <c r="C279" i="1"/>
  <c r="C278" i="1"/>
  <c r="C277" i="1"/>
  <c r="C276" i="1"/>
  <c r="C275" i="1"/>
  <c r="C274" i="1"/>
  <c r="C273" i="1"/>
  <c r="C272" i="1"/>
  <c r="C271" i="1"/>
  <c r="C270" i="1"/>
  <c r="C269" i="1"/>
  <c r="C268" i="1"/>
  <c r="C267" i="1"/>
  <c r="C266" i="1"/>
  <c r="C265" i="1"/>
  <c r="C264" i="1"/>
  <c r="C263" i="1"/>
  <c r="C262" i="1"/>
  <c r="C261" i="1"/>
  <c r="C260"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C99" i="1"/>
  <c r="C98" i="1"/>
  <c r="C97" i="1"/>
  <c r="C96" i="1"/>
  <c r="C95" i="1"/>
  <c r="C94" i="1"/>
  <c r="C93" i="1"/>
  <c r="C92" i="1"/>
  <c r="C91" i="1"/>
  <c r="C90" i="1"/>
  <c r="C89" i="1"/>
  <c r="C88" i="1"/>
  <c r="C87" i="1"/>
  <c r="C86" i="1"/>
  <c r="C85"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c r="I6" i="2" l="1"/>
  <c r="K6" i="2"/>
  <c r="L6" i="2"/>
  <c r="G6" i="2"/>
  <c r="H6" i="2"/>
  <c r="J6" i="2"/>
  <c r="M6" i="2"/>
  <c r="N6" i="2"/>
  <c r="O6" i="2"/>
  <c r="P6" i="2"/>
  <c r="Q6" i="2"/>
  <c r="H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<sst xmlns="http://schemas.openxmlformats.org/spreadsheetml/2006/main" count="6480" uniqueCount="4539">
  <si>
    <t>BogenseKystdiger_Bidragsfordeling_2026_Jan_Version10.xlsx</t>
  </si>
  <si>
    <t xml:space="preserve">Arket viser alle bidragspligtige
(Forsyningsselskabernes enkelt bidrag fremgår i andet ark)
Det samlede antal parter, der skal bidrages med for hver adresse, står I kolonnen 'Samlet parter'. 
For ejendomme med flere boligenheder, vil der være et samlet bidrag for ejendommen samt enkeltbidrag på administrationsbidrag og bygningsbidrag, som kan ses under ejendommens samlede bidrag. 
Ejerlejligheder har selvstændige BFE-numre og vil derfor afvige fra SFE-nummeret hovedejendommen. </t>
  </si>
  <si>
    <t>Kategori</t>
  </si>
  <si>
    <t>KB.1</t>
  </si>
  <si>
    <t>KB.2</t>
  </si>
  <si>
    <t>KB.3</t>
  </si>
  <si>
    <t>KB.4</t>
  </si>
  <si>
    <t>KB.5</t>
  </si>
  <si>
    <t>KB.6</t>
  </si>
  <si>
    <t>KB.7</t>
  </si>
  <si>
    <t>KB.8</t>
  </si>
  <si>
    <t>KB.10</t>
  </si>
  <si>
    <t>KB.11</t>
  </si>
  <si>
    <t>KB.13</t>
  </si>
  <si>
    <t>Laveste kote målt på ejendommen</t>
  </si>
  <si>
    <t xml:space="preserve">Parter </t>
  </si>
  <si>
    <t>0,5 part pr. ejendom</t>
  </si>
  <si>
    <t>0,25 part pr. ejendom</t>
  </si>
  <si>
    <t>1 part pr bygning samt bolig</t>
  </si>
  <si>
    <t>0,3 part pr. ejendom</t>
  </si>
  <si>
    <t>1 part pr. 500m2 over de første 500m2</t>
  </si>
  <si>
    <t>1 part pr. 5000m2 berørt</t>
  </si>
  <si>
    <t>0,3 part pr.10000m2 berørt</t>
  </si>
  <si>
    <t>0,1 part pr. 10000m2 berørt</t>
  </si>
  <si>
    <t xml:space="preserve">4 parter i alt </t>
  </si>
  <si>
    <t>0,1 part pr. matrikel</t>
  </si>
  <si>
    <t>65 parter</t>
  </si>
  <si>
    <t>Sfe</t>
  </si>
  <si>
    <t>Bfe</t>
  </si>
  <si>
    <t>Link Til Ois</t>
  </si>
  <si>
    <t>Matrikelnumre</t>
  </si>
  <si>
    <t>Antal Parter</t>
  </si>
  <si>
    <t>Adresse</t>
  </si>
  <si>
    <t>Grundbidrag</t>
  </si>
  <si>
    <t>Terrænbidrag</t>
  </si>
  <si>
    <t>Bygningsbidrag</t>
  </si>
  <si>
    <t>Kælderbidrag</t>
  </si>
  <si>
    <t>Ekstra Bygningsbidrag</t>
  </si>
  <si>
    <t>Offentlige Veje</t>
  </si>
  <si>
    <t>Landbrugsjord</t>
  </si>
  <si>
    <t>Naturarealer</t>
  </si>
  <si>
    <t>Direkte Erosion - Strækning 3</t>
  </si>
  <si>
    <t>Indirekte Erosion - Strækning 3</t>
  </si>
  <si>
    <t>Direkte Erosion - Strækning 8</t>
  </si>
  <si>
    <t>Sokkelkote</t>
  </si>
  <si>
    <t>kaelderkote</t>
  </si>
  <si>
    <t>5h;1q</t>
  </si>
  <si>
    <t>Tornhøj 18, Hugget, 5400 Bogense</t>
  </si>
  <si>
    <t>6c;1k</t>
  </si>
  <si>
    <t>Huggetvej 151, Hugget, 5400 Bogense</t>
  </si>
  <si>
    <t>10e;45d;45f;5c;4c;44b;3d;45c;45b;44c;45h</t>
  </si>
  <si>
    <t>Huggetvej 100, Skovby Nymark, 5400 Bogense</t>
  </si>
  <si>
    <t>21d;24c;1ap;25b</t>
  </si>
  <si>
    <t>Huggetvej 116, Skovby Nymark, 5400 Bogense</t>
  </si>
  <si>
    <t>26d;2a;2d;27c;29c;26a;2e</t>
  </si>
  <si>
    <t>Huggetvej 120, Skovby Nymark, 5400 Bogense</t>
  </si>
  <si>
    <t>7b;1v;35a</t>
  </si>
  <si>
    <t>Huggetvej 123, Skovby Nymark, 5400 Bogense</t>
  </si>
  <si>
    <t>24a;4b;1y;17b;44a;34b;14a;15b;18b;15d;9d</t>
  </si>
  <si>
    <t>Huggetvej 117, Skovby Nymark, 5400 Bogense</t>
  </si>
  <si>
    <t>34c;43b;36c;30c;34a;35b;46a;31b</t>
  </si>
  <si>
    <t>Donnervej 4, Skovby Nymark, 5400 Bogense</t>
  </si>
  <si>
    <t>20d;39b;30b;48d;7e;48c;48f;48e;17d;19a</t>
  </si>
  <si>
    <t>Huggetvej 132, Skovby Nymark, 5400 Bogense</t>
  </si>
  <si>
    <t>14c;44a;32b;23b;26b;11b;10b;22i;49b;26;1æ;45a;15a</t>
  </si>
  <si>
    <t>Sandholtvej 53, Sandholt, 5400 Bogense</t>
  </si>
  <si>
    <t>29av;29n</t>
  </si>
  <si>
    <t>Bergenparken 10A, 5400 Bogense</t>
  </si>
  <si>
    <t>Bergenparken 10B, 5400 Bogense</t>
  </si>
  <si>
    <t>Bergenparken 10C, 5400 Bogense</t>
  </si>
  <si>
    <t>Bergenparken 10D, 5400 Bogense</t>
  </si>
  <si>
    <t>Svelvikparken 15A, 5400 Bogense</t>
  </si>
  <si>
    <t>Svelvikparken 15B, 5400 Bogense</t>
  </si>
  <si>
    <t>Svelvikparken 15C, 5400 Bogense</t>
  </si>
  <si>
    <t>Svelvikparken 17A, 5400 Bogense</t>
  </si>
  <si>
    <t>Svelvikparken 17B, 5400 Bogense</t>
  </si>
  <si>
    <t>Svelvikparken 17C, 5400 Bogense</t>
  </si>
  <si>
    <t>Svelvikparken 17D, 5400 Bogense</t>
  </si>
  <si>
    <t>Svelvikparken 19A, 5400 Bogense</t>
  </si>
  <si>
    <t>Svelvikparken 19B, 5400 Bogense</t>
  </si>
  <si>
    <t>Svelvikparken 19C, 5400 Bogense</t>
  </si>
  <si>
    <t>Svelvikparken 19D, 5400 Bogense</t>
  </si>
  <si>
    <t>58d;58n</t>
  </si>
  <si>
    <t>Odensevej 76, 5400 Bogense</t>
  </si>
  <si>
    <t>58p;58e</t>
  </si>
  <si>
    <t>Odensevej 62, 5400 Bogense</t>
  </si>
  <si>
    <t>58q;58c</t>
  </si>
  <si>
    <t>Odensevej 60, 5400 Bogense</t>
  </si>
  <si>
    <t>58b;58r</t>
  </si>
  <si>
    <t>Odensevej 58, 5400 Bogense</t>
  </si>
  <si>
    <t>4ac;66a</t>
  </si>
  <si>
    <t>Almindevej 22, Almindehuse, 5400 Bogense</t>
  </si>
  <si>
    <t>85b;59;25b</t>
  </si>
  <si>
    <t>Almindevej 43, Almindehuse, 5400 Bogense</t>
  </si>
  <si>
    <t>93c;93b</t>
  </si>
  <si>
    <t>Huggetvej 30, Bogense Mark, 5400 Bogense</t>
  </si>
  <si>
    <t>103a;94a;94b</t>
  </si>
  <si>
    <t>Huggetvej 43, Bogense Mark, 5400 Bogense</t>
  </si>
  <si>
    <t>4b;4d;4c</t>
  </si>
  <si>
    <t>Stegøvej 104, Store Stegø, 5400 Bogense</t>
  </si>
  <si>
    <t>97c;97a;124b</t>
  </si>
  <si>
    <t>Huggetvej 55, Gungerne, 5400 Bogense</t>
  </si>
  <si>
    <t>125a;17b</t>
  </si>
  <si>
    <t>Stegøvej 98, Lille Stegø, 5400 Bogense</t>
  </si>
  <si>
    <t>91a;25b</t>
  </si>
  <si>
    <t>Norgesvej 30, 5400 Bogense</t>
  </si>
  <si>
    <t>32b;84</t>
  </si>
  <si>
    <t>Huggetvej 68, Kræmmerkrog, 5400 Bogense</t>
  </si>
  <si>
    <t>33b;32c;86a;31c</t>
  </si>
  <si>
    <t>Huggetvej 44, Gungerne, 5400 Bogense</t>
  </si>
  <si>
    <t>20c;16b;34a;22b;24b</t>
  </si>
  <si>
    <t>Huggetvej 110, Skovby Nymark, 5400 Bogense</t>
  </si>
  <si>
    <t>112b;33a;4v;40b;40c;34d;11</t>
  </si>
  <si>
    <t>Huggetvej 81, Kræmmerkrog, 5400 Bogense</t>
  </si>
  <si>
    <t>35b;36b</t>
  </si>
  <si>
    <t>Huggetvej 136, Skovby Nymark, 5400 Bogense</t>
  </si>
  <si>
    <t>38c;3d;54b;37;38b;1a;9b;39a</t>
  </si>
  <si>
    <t>Sandholtvej 48, Brandholt, 5400 Bogense</t>
  </si>
  <si>
    <t>34b;67d;67c</t>
  </si>
  <si>
    <t>Huggetvej 52, Gungerne, 5400 Bogense</t>
  </si>
  <si>
    <t>127a;40a;50;41a;41b;42a</t>
  </si>
  <si>
    <t>Huggetvej 82, Kræmmerkrog, 5400 Bogense</t>
  </si>
  <si>
    <t>42b;17a</t>
  </si>
  <si>
    <t>Skåstrupvej 63, Skåstrup, 5400 Bogense</t>
  </si>
  <si>
    <t>2c;11b;2b;9k;43a</t>
  </si>
  <si>
    <t>Huggetvej 101, Skovby Nymark, 5400 Bogense</t>
  </si>
  <si>
    <t>30e;43b;1ab;47a;28a;43c;46b;25c;47b;36d;1d</t>
  </si>
  <si>
    <t>Huggetvej 154, Hugget, 5400 Bogense</t>
  </si>
  <si>
    <t>46;74</t>
  </si>
  <si>
    <t>Huggetvej 72, Kræmmerkrog, 5400 Bogense</t>
  </si>
  <si>
    <t>55b;9d;5d</t>
  </si>
  <si>
    <t>Peberhaven 2, Harritslev F, 5400 Bogense</t>
  </si>
  <si>
    <t>6cb;8bc;34cf;15kx;13ek;153d;30am;4cb;4em;3ay;12n;4eo;7m;45ao;45ap;44;5l;4mb;13el;3ae;3bn;1ma;7s;4ma;1as;25c;25d;153e;4læ;13ei;4ep;4en;10bd;5hl;1oq;20fi;20fh;34ce;7bæ</t>
  </si>
  <si>
    <t>Stegøvej 19, 5400 Bogense</t>
  </si>
  <si>
    <t>4a</t>
  </si>
  <si>
    <t>Smidstrupvej 19, Smidstrup, 5400 Bogense</t>
  </si>
  <si>
    <t>7g</t>
  </si>
  <si>
    <t>Idyllendal 10, Idyllendal, 5400 Bogense</t>
  </si>
  <si>
    <t>1o</t>
  </si>
  <si>
    <t>Burskovvej 2, Gyldensteen, 5400 Bogense</t>
  </si>
  <si>
    <t>7000a</t>
  </si>
  <si>
    <t>7000b</t>
  </si>
  <si>
    <t>1d</t>
  </si>
  <si>
    <t>Huggetvej 85, Kræmmerkrog, 5400 Bogense</t>
  </si>
  <si>
    <t>3a</t>
  </si>
  <si>
    <t>3h</t>
  </si>
  <si>
    <t>Storkenhøjvej 167, Fogense Enge, 5400 Bogense</t>
  </si>
  <si>
    <t>Storkenhøjvej 177, Fogense Enge, 5400 Bogense</t>
  </si>
  <si>
    <t>5g</t>
  </si>
  <si>
    <t>Storkenhøjvej 183, Fogense Enge, 5400 Bogense</t>
  </si>
  <si>
    <t>6f</t>
  </si>
  <si>
    <t>Storkenhøjvej 173, Fogense Enge, 5400 Bogense</t>
  </si>
  <si>
    <t>7d</t>
  </si>
  <si>
    <t>Storkenhøjvej 169, Fogense Enge, 5400 Bogense</t>
  </si>
  <si>
    <t>8e</t>
  </si>
  <si>
    <t>Storkenhøjvej 165, Fogense Enge, 5400 Bogense</t>
  </si>
  <si>
    <t>9c</t>
  </si>
  <si>
    <t>Storkenhøjvej 163, Fogense Enge, 5400 Bogense</t>
  </si>
  <si>
    <t>10b</t>
  </si>
  <si>
    <t>Storkenhøjvej 175, Fogense Enge, 5400 Bogense</t>
  </si>
  <si>
    <t>11c</t>
  </si>
  <si>
    <t>Storkenhøjvej 185, Fogense Enge, 5400 Bogense</t>
  </si>
  <si>
    <t>12a</t>
  </si>
  <si>
    <t>Storkenhøjvej 237, Fogense Enge, 5400 Bogense</t>
  </si>
  <si>
    <t>12f</t>
  </si>
  <si>
    <t>Storkenhøjvej 171, Fogense Enge, 5400 Bogense</t>
  </si>
  <si>
    <t>13e</t>
  </si>
  <si>
    <t>Storkenhøjvej 181, Fogense Enge, 5400 Bogense</t>
  </si>
  <si>
    <t>14b</t>
  </si>
  <si>
    <t>Storkenhøjvej 179, Fogense Enge, 5400 Bogense</t>
  </si>
  <si>
    <t>16a</t>
  </si>
  <si>
    <t>Storkenhøjvej 161, Fogense Enge, 5400 Bogense</t>
  </si>
  <si>
    <t>17e</t>
  </si>
  <si>
    <t>Storkenhøjvej 155, Fogense Enge, 5400 Bogense</t>
  </si>
  <si>
    <t>18c</t>
  </si>
  <si>
    <t>Storkenhøjvej 157, Fogense Enge, 5400 Bogense</t>
  </si>
  <si>
    <t>19c</t>
  </si>
  <si>
    <t>Huggetvej 112, Skovby Nymark, 5400 Bogense</t>
  </si>
  <si>
    <t>20b</t>
  </si>
  <si>
    <t>Storkenhøjvej 147, Fogense Enge, 5400 Bogense</t>
  </si>
  <si>
    <t>22e</t>
  </si>
  <si>
    <t>23d</t>
  </si>
  <si>
    <t>Storkenhøjvej 159, Fogense Enge, 5400 Bogense</t>
  </si>
  <si>
    <t>24e</t>
  </si>
  <si>
    <t>Storkenhøjvej 151, Fogense Enge, 5400 Bogense</t>
  </si>
  <si>
    <t>25d</t>
  </si>
  <si>
    <t>Storkenhøjvej 149, Fogense Enge, 5400 Bogense</t>
  </si>
  <si>
    <t>27a</t>
  </si>
  <si>
    <t>Huggetvej 122, Skovby Nymark, 5400 Bogense</t>
  </si>
  <si>
    <t>29b</t>
  </si>
  <si>
    <t>Storkenhøjvej 211, Fogense Enge, 5400 Bogense</t>
  </si>
  <si>
    <t>29d</t>
  </si>
  <si>
    <t>Storkenhøjvej 213, Fogense Enge, 5400 Bogense</t>
  </si>
  <si>
    <t>30a</t>
  </si>
  <si>
    <t>Storkenhøjvej 205, Fogense Enge, 5400 Bogense</t>
  </si>
  <si>
    <t>30d</t>
  </si>
  <si>
    <t>Storkenhøjvej 203, Fogense Enge, 5400 Bogense</t>
  </si>
  <si>
    <t>31a</t>
  </si>
  <si>
    <t>Storkenhøjvej 209, Fogense Enge, 5400 Bogense</t>
  </si>
  <si>
    <t>33</t>
  </si>
  <si>
    <t>Storkenhøjvej 201, Fogense Enge, 5400 Bogense</t>
  </si>
  <si>
    <t>34d</t>
  </si>
  <si>
    <t>Storkenhøjvej 215, Fogense Enge, 5400 Bogense</t>
  </si>
  <si>
    <t>36a</t>
  </si>
  <si>
    <t>Storkenhøjvej 207, Fogense Enge, 5400 Bogense</t>
  </si>
  <si>
    <t>37c</t>
  </si>
  <si>
    <t>Storkenhøjvej 197, Fogense Enge, 5400 Bogense</t>
  </si>
  <si>
    <t>38a</t>
  </si>
  <si>
    <t>Storkenhøjvej 199, Fogense Enge, 5400 Bogense</t>
  </si>
  <si>
    <t>39d</t>
  </si>
  <si>
    <t>Storkenhøjvej 193, Fogense Enge, 5400 Bogense</t>
  </si>
  <si>
    <t>39e</t>
  </si>
  <si>
    <t>Donnervej 16, Skovby Nymark, 5400 Bogense</t>
  </si>
  <si>
    <t>40a</t>
  </si>
  <si>
    <t>Storkenhøjvej 191, Fogense Enge, 5400 Bogense</t>
  </si>
  <si>
    <t>41b</t>
  </si>
  <si>
    <t>Storkenhøjvej 195, Fogense Enge, 5400 Bogense</t>
  </si>
  <si>
    <t>42b</t>
  </si>
  <si>
    <t>Storkenhøjvej 187, Fogense Enge, 5400 Bogense</t>
  </si>
  <si>
    <t>43a</t>
  </si>
  <si>
    <t>Storkenhøjvej 189, Fogense Enge, 5400 Bogense</t>
  </si>
  <si>
    <t>47c</t>
  </si>
  <si>
    <t>Storkenhøjvej 217, Fogense Enge, 5400 Bogense</t>
  </si>
  <si>
    <t>Skovvej 42, 5400 Bogense</t>
  </si>
  <si>
    <t>1p</t>
  </si>
  <si>
    <t>Skovvej 40, 5400 Bogense</t>
  </si>
  <si>
    <t>1ao;1z;1m;1an</t>
  </si>
  <si>
    <t>Kristianslundsvej 4, Dammene, 5400 Bogense</t>
  </si>
  <si>
    <t>1ab</t>
  </si>
  <si>
    <t>Hornskovvej 15, Harritslev F, 5400 Bogense</t>
  </si>
  <si>
    <t>1ac</t>
  </si>
  <si>
    <t>Kristianslundsvej 12, Dammene, 5400 Bogense</t>
  </si>
  <si>
    <t>28</t>
  </si>
  <si>
    <t>Kristianslundsvej 16, 5400 Bogense</t>
  </si>
  <si>
    <t>7000c</t>
  </si>
  <si>
    <t>2a</t>
  </si>
  <si>
    <t>Havnefronten 1, 5400 Bogense</t>
  </si>
  <si>
    <t>Havnefronten 1, 1., 5400 Bogense</t>
  </si>
  <si>
    <t>Havnefronten 1, 2., 5400 Bogense</t>
  </si>
  <si>
    <t>Havnefronten 1, st., 5400 Bogense</t>
  </si>
  <si>
    <t>Havnefronten 11, 1., 5400 Bogense</t>
  </si>
  <si>
    <t>Havnefronten 11, 2., 5400 Bogense</t>
  </si>
  <si>
    <t>Havnefronten 11, st., 5400 Bogense</t>
  </si>
  <si>
    <t>Havnefronten 13, 1., 5400 Bogense</t>
  </si>
  <si>
    <t>Havnefronten 13, 2., 5400 Bogense</t>
  </si>
  <si>
    <t>Havnefronten 13, st., 5400 Bogense</t>
  </si>
  <si>
    <t>Havnefronten 3, 1., 5400 Bogense</t>
  </si>
  <si>
    <t>Havnefronten 3, 2., 5400 Bogense</t>
  </si>
  <si>
    <t>Havnefronten 3, st., 5400 Bogense</t>
  </si>
  <si>
    <t>Havnefronten 5, 1., 5400 Bogense</t>
  </si>
  <si>
    <t>Havnefronten 5, 2., 5400 Bogense</t>
  </si>
  <si>
    <t>Havnefronten 5, st., 5400 Bogense</t>
  </si>
  <si>
    <t>Havnefronten 7, 1., 5400 Bogense</t>
  </si>
  <si>
    <t>Havnefronten 7, 2., 5400 Bogense</t>
  </si>
  <si>
    <t>Havnefronten 7, st., 5400 Bogense</t>
  </si>
  <si>
    <t>Havnefronten 9, 1., 5400 Bogense</t>
  </si>
  <si>
    <t>Havnefronten 9, 2., 5400 Bogense</t>
  </si>
  <si>
    <t>Havnefronten 9, st., 5400 Bogense</t>
  </si>
  <si>
    <t>2b</t>
  </si>
  <si>
    <t>Jernbanegade 6, 5400 Bogense</t>
  </si>
  <si>
    <t>2c</t>
  </si>
  <si>
    <t>Jernbanegade 8, 5400 Bogense</t>
  </si>
  <si>
    <t>4</t>
  </si>
  <si>
    <t>Adelgade 2A, 5400 Bogense</t>
  </si>
  <si>
    <t>Adelgade 2A, st. th, 5400 Bogense</t>
  </si>
  <si>
    <t>Adelgade 2B, st. tv, 5400 Bogense</t>
  </si>
  <si>
    <t>Vestergade 1A, 5400 Bogense</t>
  </si>
  <si>
    <t>Vestergade 1D, 1., 5400 Bogense</t>
  </si>
  <si>
    <t>Vestergade 1D, st., 5400 Bogense</t>
  </si>
  <si>
    <t>Vestergade 1E, 5400 Bogense</t>
  </si>
  <si>
    <t>Vestergade 1F, 5400 Bogense</t>
  </si>
  <si>
    <t>Vestergade 3, 5400 Bogense</t>
  </si>
  <si>
    <t>5</t>
  </si>
  <si>
    <t>Adelgade 4, 5400 Bogense</t>
  </si>
  <si>
    <t>6a</t>
  </si>
  <si>
    <t>Adelgade 6, 5400 Bogense</t>
  </si>
  <si>
    <t>6b</t>
  </si>
  <si>
    <t>Adelgade 8, 5400 Bogense</t>
  </si>
  <si>
    <t>7a</t>
  </si>
  <si>
    <t>Adelgade 10, 5400 Bogense</t>
  </si>
  <si>
    <t>Adelgade 10A, 5400 Bogense</t>
  </si>
  <si>
    <t>11a</t>
  </si>
  <si>
    <t>Adelgade 12A, 5400 Bogense</t>
  </si>
  <si>
    <t>Adelgade 12B, 1. th, 5400 Bogense</t>
  </si>
  <si>
    <t>Adelgade 12B, 1. tv, 5400 Bogense</t>
  </si>
  <si>
    <t>Adelgade 12B, st. th, 5400 Bogense</t>
  </si>
  <si>
    <t>Adelgade 12B, st. tv, 5400 Bogense</t>
  </si>
  <si>
    <t>Adelgade 12C, 1. 1, 5400 Bogense</t>
  </si>
  <si>
    <t>Adelgade 12C, 1. 2, 5400 Bogense</t>
  </si>
  <si>
    <t>Adelgade 12C, 1. 3, 5400 Bogense</t>
  </si>
  <si>
    <t>Adelgade 12C, 2. th, 5400 Bogense</t>
  </si>
  <si>
    <t>Adelgade 12C, 2. tv, 5400 Bogense</t>
  </si>
  <si>
    <t>Adelgade 12C, st. th, 5400 Bogense</t>
  </si>
  <si>
    <t>Adelgade 12C, st. tv, 5400 Bogense</t>
  </si>
  <si>
    <t>Adelgade 12D, 1. th, 5400 Bogense</t>
  </si>
  <si>
    <t>Adelgade 12D, 1. tv, 5400 Bogense</t>
  </si>
  <si>
    <t>Adelgade 12D, st. th, 5400 Bogense</t>
  </si>
  <si>
    <t>Adelgade 12D, st. tv, 5400 Bogense</t>
  </si>
  <si>
    <t>Adelgade 14A, 5400 Bogense</t>
  </si>
  <si>
    <t>Adelgade 14B, 5400 Bogense</t>
  </si>
  <si>
    <t>Adelgade 14C, 5400 Bogense</t>
  </si>
  <si>
    <t>Adelgade 14D, 1. th, 5400 Bogense</t>
  </si>
  <si>
    <t>Adelgade 14D, 1. tv, 5400 Bogense</t>
  </si>
  <si>
    <t>Adelgade 14D, st. th, 5400 Bogense</t>
  </si>
  <si>
    <t>Adelgade 14D, st. tv, 5400 Bogense</t>
  </si>
  <si>
    <t>Adelgade 14E, 1. th, 5400 Bogense</t>
  </si>
  <si>
    <t>Adelgade 14E, 1. tv, 5400 Bogense</t>
  </si>
  <si>
    <t>Adelgade 14E, 2., 5400 Bogense</t>
  </si>
  <si>
    <t>Adelgade 14E, st. th, 5400 Bogense</t>
  </si>
  <si>
    <t>Adelgade 14E, st. tv, 5400 Bogense</t>
  </si>
  <si>
    <t>Adelgade 14F, 1. th, 5400 Bogense</t>
  </si>
  <si>
    <t>Adelgade 14F, 1. tv, 5400 Bogense</t>
  </si>
  <si>
    <t>Adelgade 14F, 2. th, 5400 Bogense</t>
  </si>
  <si>
    <t>Adelgade 14F, 2. tv, 5400 Bogense</t>
  </si>
  <si>
    <t>Adelgade 14F, st. th, 5400 Bogense</t>
  </si>
  <si>
    <t>Adelgade 14F, st. tv, 5400 Bogense</t>
  </si>
  <si>
    <t>Adelgade 14G, st. th, 5400 Bogense</t>
  </si>
  <si>
    <t>Adelgade 14G, st. tv, 5400 Bogense</t>
  </si>
  <si>
    <t>11b</t>
  </si>
  <si>
    <t>Adelgade 16, 5400 Bogense</t>
  </si>
  <si>
    <t>14</t>
  </si>
  <si>
    <t>Adelgade 18, 5400 Bogense</t>
  </si>
  <si>
    <t>15</t>
  </si>
  <si>
    <t>Adelgade 20, 5400 Bogense</t>
  </si>
  <si>
    <t>16</t>
  </si>
  <si>
    <t>Adelgade 22A, 5400 Bogense</t>
  </si>
  <si>
    <t>Adelgade 22B, 5400 Bogense</t>
  </si>
  <si>
    <t>Adelgade 22C, 5400 Bogense</t>
  </si>
  <si>
    <t>17</t>
  </si>
  <si>
    <t>Adelgade 24, 5400 Bogense</t>
  </si>
  <si>
    <t>18a</t>
  </si>
  <si>
    <t>Adelgade 26A, st. th, 5400 Bogense</t>
  </si>
  <si>
    <t>Adelgade 26A, st. tv, 5400 Bogense</t>
  </si>
  <si>
    <t>Adelgade 26B, 5400 Bogense</t>
  </si>
  <si>
    <t>Jernbanegade 2A, st., 5400 Bogense</t>
  </si>
  <si>
    <t>Jernbanegade 2B, st. th, 5400 Bogense</t>
  </si>
  <si>
    <t>Jernbanegade 2B, st. tv, 5400 Bogense</t>
  </si>
  <si>
    <t>Jernbanegade 2C, 1. tv, 5400 Bogense</t>
  </si>
  <si>
    <t>Jernbanegade 2C, 1. th, 5400 Bogense</t>
  </si>
  <si>
    <t>Jernbanegade 2D, 1., 5400 Bogense</t>
  </si>
  <si>
    <t>Jernbanegade 2B, 1. tv, 5400 Bogense</t>
  </si>
  <si>
    <t>Jernbanegade 2B, 1. th, 5400 Bogense</t>
  </si>
  <si>
    <t>18b</t>
  </si>
  <si>
    <t>Jernbanegade 4, 5400 Bogense</t>
  </si>
  <si>
    <t>Jernbanegade 4, 1., 5400 Bogense</t>
  </si>
  <si>
    <t>Jernbanegade 4, 2., 5400 Bogense</t>
  </si>
  <si>
    <t>Jernbanegade 4, st., 5400 Bogense</t>
  </si>
  <si>
    <t>19</t>
  </si>
  <si>
    <t>Adelgade 28, 5400 Bogense</t>
  </si>
  <si>
    <t>Jernbanegade 1, 5400 Bogense</t>
  </si>
  <si>
    <t>Jernbanegade 3, 5400 Bogense</t>
  </si>
  <si>
    <t>20</t>
  </si>
  <si>
    <t>Adelgade 30A, 5400 Bogense</t>
  </si>
  <si>
    <t>Adelgade 30B, 5400 Bogense</t>
  </si>
  <si>
    <t>Adelgade 30C, 5400 Bogense</t>
  </si>
  <si>
    <t>Adelgade 30D, 5400 Bogense</t>
  </si>
  <si>
    <t>Adelgade 30E, 5400 Bogense</t>
  </si>
  <si>
    <t>Adelgade 30F, 5400 Bogense</t>
  </si>
  <si>
    <t>Adelgade 30G, 5400 Bogense</t>
  </si>
  <si>
    <t>21a</t>
  </si>
  <si>
    <t>Adelgade 32A, 1., 5400 Bogense</t>
  </si>
  <si>
    <t>Adelgade 32B, 5400 Bogense</t>
  </si>
  <si>
    <t>Adelgade 32D, 5400 Bogense</t>
  </si>
  <si>
    <t>Adelgade 32C, 5400 Bogense</t>
  </si>
  <si>
    <t>Adelgade 32E, 5400 Bogense</t>
  </si>
  <si>
    <t>22a</t>
  </si>
  <si>
    <t>Adelgade 34A, st. 1, 5400 Bogense</t>
  </si>
  <si>
    <t>Adelgade 34B, 1., 5400 Bogense</t>
  </si>
  <si>
    <t>Adelgade 34B, 2., 5400 Bogense</t>
  </si>
  <si>
    <t>Adelgade 34B, st. 2, 5400 Bogense</t>
  </si>
  <si>
    <t>Adelgade 34C, st. 1, 5400 Bogense</t>
  </si>
  <si>
    <t>Adelgade 34C, st. 2, 5400 Bogense</t>
  </si>
  <si>
    <t>Adelgade 34C, st. 3, 5400 Bogense</t>
  </si>
  <si>
    <t>22b</t>
  </si>
  <si>
    <t>Vestergade 5, 5400 Bogense</t>
  </si>
  <si>
    <t>23a</t>
  </si>
  <si>
    <t>Adelgade 36, 5400 Bogense</t>
  </si>
  <si>
    <t>Adelgade 36, 1., 5400 Bogense</t>
  </si>
  <si>
    <t>Adelgade 36, 2., 5400 Bogense</t>
  </si>
  <si>
    <t>Adelgade 36, st., 5400 Bogense</t>
  </si>
  <si>
    <t>23b</t>
  </si>
  <si>
    <t>Vestergade 7, 5400 Bogense</t>
  </si>
  <si>
    <t>24a</t>
  </si>
  <si>
    <t>Adelgade 38A, 5400 Bogense</t>
  </si>
  <si>
    <t>Adelgade 38B, 5400 Bogense</t>
  </si>
  <si>
    <t>Adelgade 38C, 1. tv, 5400 Bogense</t>
  </si>
  <si>
    <t>Adelgade 38C, 1. th, 5400 Bogense</t>
  </si>
  <si>
    <t>25a</t>
  </si>
  <si>
    <t>Adelgade 40B, 5400 Bogense</t>
  </si>
  <si>
    <t>Adelgade 40A, 1., 5400 Bogense</t>
  </si>
  <si>
    <t>Adelgade 40A, 2., 5400 Bogense</t>
  </si>
  <si>
    <t>Adelgade 40A, kl., 5400 Bogense</t>
  </si>
  <si>
    <t>Adelgade 40A, st., 5400 Bogense</t>
  </si>
  <si>
    <t>Adelgade 40C, 5400 Bogense</t>
  </si>
  <si>
    <t>Adelgade 40D, 5400 Bogense</t>
  </si>
  <si>
    <t>Adelgade 40E, 5400 Bogense</t>
  </si>
  <si>
    <t>25b</t>
  </si>
  <si>
    <t>Vestergade 9, 5400 Bogense</t>
  </si>
  <si>
    <t>26</t>
  </si>
  <si>
    <t>Adelgade 42, 5400 Bogense</t>
  </si>
  <si>
    <t>Adelgade 42, 1., 5400 Bogense</t>
  </si>
  <si>
    <t>Adelgade 42, 2., 5400 Bogense</t>
  </si>
  <si>
    <t>Adelgade 42, st., 5400 Bogense</t>
  </si>
  <si>
    <t>Adelgade 42A, 5400 Bogense</t>
  </si>
  <si>
    <t>Adelgade 44, 5400 Bogense</t>
  </si>
  <si>
    <t>Adelgade 44A, 5400 Bogense</t>
  </si>
  <si>
    <t>Adelgade 44B, 5400 Bogense</t>
  </si>
  <si>
    <t>27b</t>
  </si>
  <si>
    <t>Adelgade 46, 1., 5400 Bogense</t>
  </si>
  <si>
    <t>Adelgade 46, st., 5400 Bogense</t>
  </si>
  <si>
    <t>27c</t>
  </si>
  <si>
    <t>Vestergade 11, 5400 Bogense</t>
  </si>
  <si>
    <t>28a</t>
  </si>
  <si>
    <t>Adelgade 48A, 5400 Bogense</t>
  </si>
  <si>
    <t>Adelgade 48A, 1., 5400 Bogense</t>
  </si>
  <si>
    <t>Adelgade 48A, 2., 5400 Bogense</t>
  </si>
  <si>
    <t>Adelgade 48B, st., 5400 Bogense</t>
  </si>
  <si>
    <t>28c</t>
  </si>
  <si>
    <t>Vestergade 13, 5400 Bogense</t>
  </si>
  <si>
    <t>29a</t>
  </si>
  <si>
    <t>Adelgade 50, 5400 Bogense</t>
  </si>
  <si>
    <t>Adelgade 50A, 5400 Bogense</t>
  </si>
  <si>
    <t>Adelgade 50B, 1., 5400 Bogense</t>
  </si>
  <si>
    <t>Adelgade 50B, st., 5400 Bogense</t>
  </si>
  <si>
    <t>Adelgade 50C, 1., 5400 Bogense</t>
  </si>
  <si>
    <t>Adelgade 50C, st., 5400 Bogense</t>
  </si>
  <si>
    <t>Adelgade 50D, 5400 Bogense</t>
  </si>
  <si>
    <t>Adelgade 50E, st., 5400 Bogense</t>
  </si>
  <si>
    <t>Vestergade 15, 5400 Bogense</t>
  </si>
  <si>
    <t>Adelgade 52A, 5400 Bogense</t>
  </si>
  <si>
    <t>Adelgade 52A, 1., 5400 Bogense</t>
  </si>
  <si>
    <t>Adelgade 52A, st., 5400 Bogense</t>
  </si>
  <si>
    <t>Adelgade 54, 5400 Bogense</t>
  </si>
  <si>
    <t>31b</t>
  </si>
  <si>
    <t>32a</t>
  </si>
  <si>
    <t>Vestergade 21, 5400 Bogense</t>
  </si>
  <si>
    <t>32b</t>
  </si>
  <si>
    <t>Adelgade 56A, 5400 Bogense</t>
  </si>
  <si>
    <t>Adelgade 56A, st., 5400 Bogense</t>
  </si>
  <si>
    <t>Adelgade 56B, st., 5400 Bogense</t>
  </si>
  <si>
    <t>Adelgade 56C, st., 5400 Bogense</t>
  </si>
  <si>
    <t>33a</t>
  </si>
  <si>
    <t>33c</t>
  </si>
  <si>
    <t>Enggade 14, 5400 Bogense</t>
  </si>
  <si>
    <t>Enggade 16, 5400 Bogense</t>
  </si>
  <si>
    <t>Enggade 18, 5400 Bogense</t>
  </si>
  <si>
    <t>Enggade 20, 5400 Bogense</t>
  </si>
  <si>
    <t>Enggade 22, 5400 Bogense</t>
  </si>
  <si>
    <t>Enggade 24, 5400 Bogense</t>
  </si>
  <si>
    <t>Enggade 26, 5400 Bogense</t>
  </si>
  <si>
    <t>Enggade 28, 5400 Bogense</t>
  </si>
  <si>
    <t>Enggade 30, 5400 Bogense</t>
  </si>
  <si>
    <t>Enggade 32, 1. th, 5400 Bogense</t>
  </si>
  <si>
    <t>Enggade 32, 1. tv, 5400 Bogense</t>
  </si>
  <si>
    <t>33f</t>
  </si>
  <si>
    <t>Enggade 17, 5400 Bogense</t>
  </si>
  <si>
    <t>33i</t>
  </si>
  <si>
    <t>Enggade 19, 5400 Bogense</t>
  </si>
  <si>
    <t>33k</t>
  </si>
  <si>
    <t>Adelgade 56, 5400 Bogense</t>
  </si>
  <si>
    <t>Adelgade 56F, 5400 Bogense</t>
  </si>
  <si>
    <t>33l</t>
  </si>
  <si>
    <t>Enggade 15, 5400 Bogense</t>
  </si>
  <si>
    <t>33q</t>
  </si>
  <si>
    <t>Hotelpassagen 3, 5400 Bogense</t>
  </si>
  <si>
    <t>Hotelpassagen 3, 1., 5400 Bogense</t>
  </si>
  <si>
    <t>Hotelpassagen 3, 2., 5400 Bogense</t>
  </si>
  <si>
    <t>Hotelpassagen 3, st., 5400 Bogense</t>
  </si>
  <si>
    <t>Hotelpassagen 5, 5400 Bogense</t>
  </si>
  <si>
    <t>33r</t>
  </si>
  <si>
    <t>Hotelpassagen 11, 5400 Bogense</t>
  </si>
  <si>
    <t>34</t>
  </si>
  <si>
    <t>Adelgade 58, 5400 Bogense</t>
  </si>
  <si>
    <t>Adelgade 58, 2., 5400 Bogense</t>
  </si>
  <si>
    <t>Adelgade 58, st. th, 5400 Bogense</t>
  </si>
  <si>
    <t>Adelgade 58, st. tv, 5400 Bogense</t>
  </si>
  <si>
    <t>35</t>
  </si>
  <si>
    <t>Adelgade 60, 5400 Bogense</t>
  </si>
  <si>
    <t>Adelgade 60, 1., 5400 Bogense</t>
  </si>
  <si>
    <t>Adelgade 60, st., 5400 Bogense</t>
  </si>
  <si>
    <t>36</t>
  </si>
  <si>
    <t>Adelgade 62, 5400 Bogense</t>
  </si>
  <si>
    <t>Adelgade 62, 1., 5400 Bogense</t>
  </si>
  <si>
    <t>37a</t>
  </si>
  <si>
    <t>Adelgade 64, 5400 Bogense</t>
  </si>
  <si>
    <t>Adelgade 64, 1., 5400 Bogense</t>
  </si>
  <si>
    <t>Adelgade 64, st., 5400 Bogense</t>
  </si>
  <si>
    <t>Adelgade 66A, 5400 Bogense</t>
  </si>
  <si>
    <t>Adelgade 66A, 1., 5400 Bogense</t>
  </si>
  <si>
    <t>Adelgade 66A, 2., 5400 Bogense</t>
  </si>
  <si>
    <t>Adelgade 66A, 3., 5400 Bogense</t>
  </si>
  <si>
    <t>Adelgade 66A, st., 5400 Bogense</t>
  </si>
  <si>
    <t>Adelgade 66B, 1., 5400 Bogense</t>
  </si>
  <si>
    <t>Adelgade 66B, st., 5400 Bogense</t>
  </si>
  <si>
    <t>39a</t>
  </si>
  <si>
    <t>Adelgade 68, 5400 Bogense</t>
  </si>
  <si>
    <t>Adelgade 68, 1., 5400 Bogense</t>
  </si>
  <si>
    <t>Adelgade 68, st., 5400 Bogense</t>
  </si>
  <si>
    <t>40</t>
  </si>
  <si>
    <t>Adelgade 70A, 5400 Bogense</t>
  </si>
  <si>
    <t>Adelgade 70B, 1., 5400 Bogense</t>
  </si>
  <si>
    <t>Adelgade 70B, 2. th, 5400 Bogense</t>
  </si>
  <si>
    <t>Adelgade 70B, 2. tv, 5400 Bogense</t>
  </si>
  <si>
    <t>Adelgade 70B, th, 5400 Bogense</t>
  </si>
  <si>
    <t>Adelgade 72, 5400 Bogense</t>
  </si>
  <si>
    <t>46</t>
  </si>
  <si>
    <t>48</t>
  </si>
  <si>
    <t>49a</t>
  </si>
  <si>
    <t>Adelgade 82, 5400 Bogense</t>
  </si>
  <si>
    <t>Adelgade 82, 1., 5400 Bogense</t>
  </si>
  <si>
    <t>Adelgade 82, st., 5400 Bogense</t>
  </si>
  <si>
    <t>49c</t>
  </si>
  <si>
    <t>Adelgade 80A, 5400 Bogense</t>
  </si>
  <si>
    <t>Adelgade 80B, 1., 5400 Bogense</t>
  </si>
  <si>
    <t>Adelgade 80C, 2., 5400 Bogense</t>
  </si>
  <si>
    <t>Adelgade 80D, 1., 5400 Bogense</t>
  </si>
  <si>
    <t>49d</t>
  </si>
  <si>
    <t>Adelgade 84, 5400 Bogense</t>
  </si>
  <si>
    <t>Adelgade 84, 1., 5400 Bogense</t>
  </si>
  <si>
    <t>Adelgade 84, st., 5400 Bogense</t>
  </si>
  <si>
    <t>49e</t>
  </si>
  <si>
    <t>49f</t>
  </si>
  <si>
    <t>50a</t>
  </si>
  <si>
    <t>Adelgade 86A, 5400 Bogense</t>
  </si>
  <si>
    <t>Adelgade 86B, 1., 5400 Bogense</t>
  </si>
  <si>
    <t>Adelgade 86B, 2., 5400 Bogense</t>
  </si>
  <si>
    <t>50b</t>
  </si>
  <si>
    <t>Adelgade 88, 5400 Bogense</t>
  </si>
  <si>
    <t>Adelgade 88, 1., 5400 Bogense</t>
  </si>
  <si>
    <t>51</t>
  </si>
  <si>
    <t>Adelgade 90, 5400 Bogense</t>
  </si>
  <si>
    <t>Adelgade 90, 1., 5400 Bogense</t>
  </si>
  <si>
    <t>Adelgade 90, 2., 5400 Bogense</t>
  </si>
  <si>
    <t>Adelgade 90, st., 5400 Bogense</t>
  </si>
  <si>
    <t>52</t>
  </si>
  <si>
    <t>Adelgade 92A, 5400 Bogense</t>
  </si>
  <si>
    <t>Adelgade 92B, 5400 Bogense</t>
  </si>
  <si>
    <t>Adelgade 92C, 5400 Bogense</t>
  </si>
  <si>
    <t>53a</t>
  </si>
  <si>
    <t>Vestergade 38A, 5400 Bogense</t>
  </si>
  <si>
    <t>Vestergade 38B, 5400 Bogense</t>
  </si>
  <si>
    <t>53b</t>
  </si>
  <si>
    <t>Adelgade 94A, 5400 Bogense</t>
  </si>
  <si>
    <t>Adelgade 94B, 5400 Bogense</t>
  </si>
  <si>
    <t>53c</t>
  </si>
  <si>
    <t>Adelgade 96, 5400 Bogense</t>
  </si>
  <si>
    <t>53d</t>
  </si>
  <si>
    <t>Vestergade 41, 5400 Bogense</t>
  </si>
  <si>
    <t>53e</t>
  </si>
  <si>
    <t>53f</t>
  </si>
  <si>
    <t>53g</t>
  </si>
  <si>
    <t>53h</t>
  </si>
  <si>
    <t>Adelgade 98, 5400 Bogense</t>
  </si>
  <si>
    <t>53l</t>
  </si>
  <si>
    <t>Adelgade 116, 5400 Bogense</t>
  </si>
  <si>
    <t>53m</t>
  </si>
  <si>
    <t>Adelgade 114, 5400 Bogense</t>
  </si>
  <si>
    <t>Adelgade 114, 1., 5400 Bogense</t>
  </si>
  <si>
    <t>Adelgade 114, st., 5400 Bogense</t>
  </si>
  <si>
    <t>53t</t>
  </si>
  <si>
    <t>53æ</t>
  </si>
  <si>
    <t>Adelgade 108, 5400 Bogense</t>
  </si>
  <si>
    <t>53ø</t>
  </si>
  <si>
    <t>Vandværksvej 29, 5400 Bogense</t>
  </si>
  <si>
    <t>53ab</t>
  </si>
  <si>
    <t>Adelgade 106, 5400 Bogense</t>
  </si>
  <si>
    <t>Adelgade 106, 1., 5400 Bogense</t>
  </si>
  <si>
    <t>Adelgade 106, st., 5400 Bogense</t>
  </si>
  <si>
    <t>53ad</t>
  </si>
  <si>
    <t>Adelgade 104, 5400 Bogense</t>
  </si>
  <si>
    <t>53af</t>
  </si>
  <si>
    <t>Vandværksvej 2, 5400 Bogense</t>
  </si>
  <si>
    <t>Vandværksvej 10, 5400 Bogense</t>
  </si>
  <si>
    <t>Vandværksvej 12, 5400 Bogense</t>
  </si>
  <si>
    <t>Vandværksvej 14, 5400 Bogense</t>
  </si>
  <si>
    <t>Vandværksvej 16, 5400 Bogense</t>
  </si>
  <si>
    <t>Vandværksvej 18, 5400 Bogense</t>
  </si>
  <si>
    <t>Vandværksvej 20, 5400 Bogense</t>
  </si>
  <si>
    <t>Vandværksvej 22, 5400 Bogense</t>
  </si>
  <si>
    <t>Vandværksvej 24, 5400 Bogense</t>
  </si>
  <si>
    <t>Vandværksvej 26, 5400 Bogense</t>
  </si>
  <si>
    <t>Vandværksvej 4, 5400 Bogense</t>
  </si>
  <si>
    <t>Vandværksvej 6, 5400 Bogense</t>
  </si>
  <si>
    <t>Vandværksvej 8, 5400 Bogense</t>
  </si>
  <si>
    <t>55a</t>
  </si>
  <si>
    <t>Adelgade 124, 5400 Bogense</t>
  </si>
  <si>
    <t>55c</t>
  </si>
  <si>
    <t>Adelgade 122, 5400 Bogense</t>
  </si>
  <si>
    <t>56</t>
  </si>
  <si>
    <t>Adelgade 126, 5400 Bogense</t>
  </si>
  <si>
    <t>57a</t>
  </si>
  <si>
    <t>Adelgade 128, 5400 Bogense</t>
  </si>
  <si>
    <t>Adelgade 128, 1., 5400 Bogense</t>
  </si>
  <si>
    <t>Adelgade 128, st., 5400 Bogense</t>
  </si>
  <si>
    <t>58</t>
  </si>
  <si>
    <t>Adelgade 130, 5400 Bogense</t>
  </si>
  <si>
    <t>59</t>
  </si>
  <si>
    <t>Adelgade 132, 5400 Bogense</t>
  </si>
  <si>
    <t>60a</t>
  </si>
  <si>
    <t>Adelgade 134, 5400 Bogense</t>
  </si>
  <si>
    <t>60b</t>
  </si>
  <si>
    <t>61</t>
  </si>
  <si>
    <t>Adelgade 136, 5400 Bogense</t>
  </si>
  <si>
    <t>62</t>
  </si>
  <si>
    <t>Adelgade 138, 5400 Bogense</t>
  </si>
  <si>
    <t>63</t>
  </si>
  <si>
    <t>Adelgade 140, 5400 Bogense</t>
  </si>
  <si>
    <t>64</t>
  </si>
  <si>
    <t>Adelgade 142, 5400 Bogense</t>
  </si>
  <si>
    <t>65</t>
  </si>
  <si>
    <t>Adelgade 144, 5400 Bogense</t>
  </si>
  <si>
    <t>67a</t>
  </si>
  <si>
    <t>Adelgade 148, 5400 Bogense</t>
  </si>
  <si>
    <t>67b</t>
  </si>
  <si>
    <t>Adelgade 146, 5400 Bogense</t>
  </si>
  <si>
    <t>68a</t>
  </si>
  <si>
    <t>Adelgade 150, 5400 Bogense</t>
  </si>
  <si>
    <t>68b</t>
  </si>
  <si>
    <t>68c</t>
  </si>
  <si>
    <t>68d</t>
  </si>
  <si>
    <t>Enggade 1, 5400 Bogense</t>
  </si>
  <si>
    <t>68e</t>
  </si>
  <si>
    <t>69d</t>
  </si>
  <si>
    <t>69e</t>
  </si>
  <si>
    <t>Odensevej 2, 5400 Bogense</t>
  </si>
  <si>
    <t>71a</t>
  </si>
  <si>
    <t>Adelgade 143, 1., 5400 Bogense</t>
  </si>
  <si>
    <t>Adelgade 143, 2., 5400 Bogense</t>
  </si>
  <si>
    <t>Adelgade 143, st., 5400 Bogense</t>
  </si>
  <si>
    <t>71b</t>
  </si>
  <si>
    <t>Odensevej 5, 5400 Bogense</t>
  </si>
  <si>
    <t>71c</t>
  </si>
  <si>
    <t>Odensevej 1, 5400 Bogense</t>
  </si>
  <si>
    <t>71d</t>
  </si>
  <si>
    <t>Odensevej 3, 1. th, 5400 Bogense</t>
  </si>
  <si>
    <t>Odensevej 3, 1. tv, 5400 Bogense</t>
  </si>
  <si>
    <t>Odensevej 3, 2. th, 5400 Bogense</t>
  </si>
  <si>
    <t>Odensevej 3, 2. tv, 5400 Bogense</t>
  </si>
  <si>
    <t>Odensevej 3, 5400 Bogense</t>
  </si>
  <si>
    <t>Odensevej 3, st. th, 5400 Bogense</t>
  </si>
  <si>
    <t>Odensevej 3, st. tv, 5400 Bogense</t>
  </si>
  <si>
    <t>71e</t>
  </si>
  <si>
    <t>Adelgade 139, 5400 Bogense</t>
  </si>
  <si>
    <t>71g</t>
  </si>
  <si>
    <t>Gl. Toldbodvej 2, 5400 Bogense</t>
  </si>
  <si>
    <t>71h</t>
  </si>
  <si>
    <t>Adelgade 145, 5400 Bogense</t>
  </si>
  <si>
    <t>71i</t>
  </si>
  <si>
    <t>Gl. Toldbodvej 1, 5400 Bogense</t>
  </si>
  <si>
    <t>71k</t>
  </si>
  <si>
    <t>Adelgade 141, 5400 Bogense</t>
  </si>
  <si>
    <t>71n</t>
  </si>
  <si>
    <t>Gl. Toldbodvej 3, 5400 Bogense</t>
  </si>
  <si>
    <t>72</t>
  </si>
  <si>
    <t>Adelgade 135A, 5400 Bogense</t>
  </si>
  <si>
    <t>Adelgade 135A, 1., 5400 Bogense</t>
  </si>
  <si>
    <t>Adelgade 135A, st., 5400 Bogense</t>
  </si>
  <si>
    <t>Adelgade 135B, 1., 5400 Bogense</t>
  </si>
  <si>
    <t>Adelgade 135C, 1. th, 5400 Bogense</t>
  </si>
  <si>
    <t>Adelgade 135C, 1. tv, 5400 Bogense</t>
  </si>
  <si>
    <t>Adelgade 135C, st., 5400 Bogense</t>
  </si>
  <si>
    <t>Adelgade 137, 1., 5400 Bogense</t>
  </si>
  <si>
    <t>Adelgade 137, st., 5400 Bogense</t>
  </si>
  <si>
    <t>73a</t>
  </si>
  <si>
    <t>Adelgade 133, 5400 Bogense</t>
  </si>
  <si>
    <t>73b</t>
  </si>
  <si>
    <t>Adelgade 131, 5400 Bogense</t>
  </si>
  <si>
    <t>73c</t>
  </si>
  <si>
    <t>Kalkværksvej 3, 5400 Bogense</t>
  </si>
  <si>
    <t>73d</t>
  </si>
  <si>
    <t>Kalkværksvej 1, 5400 Bogense</t>
  </si>
  <si>
    <t>74a</t>
  </si>
  <si>
    <t>Adelgade 119B, 5400 Bogense</t>
  </si>
  <si>
    <t>74b</t>
  </si>
  <si>
    <t>Adelgade 125, 5400 Bogense</t>
  </si>
  <si>
    <t>74c</t>
  </si>
  <si>
    <t>Adelgade 129, 5400 Bogense</t>
  </si>
  <si>
    <t>75</t>
  </si>
  <si>
    <t>Adelgade 127, 5400 Bogense</t>
  </si>
  <si>
    <t>76</t>
  </si>
  <si>
    <t>79a</t>
  </si>
  <si>
    <t>Adelgade 103, 5400 Bogense</t>
  </si>
  <si>
    <t>Adelgade 103, 1., 5400 Bogense</t>
  </si>
  <si>
    <t>Adelgade 103, st., 5400 Bogense</t>
  </si>
  <si>
    <t>79b</t>
  </si>
  <si>
    <t>Adelgade 119, 5400 Bogense</t>
  </si>
  <si>
    <t>79c</t>
  </si>
  <si>
    <t>Mejerivej 4, 5400 Bogense</t>
  </si>
  <si>
    <t>79d</t>
  </si>
  <si>
    <t>Adelgade 117, 5400 Bogense</t>
  </si>
  <si>
    <t>Adelgade 117, 1., 5400 Bogense</t>
  </si>
  <si>
    <t>Adelgade 117, st., 5400 Bogense</t>
  </si>
  <si>
    <t>79e</t>
  </si>
  <si>
    <t>Adelgade 115, 5400 Bogense</t>
  </si>
  <si>
    <t>Adelgade 115, 1., 5400 Bogense</t>
  </si>
  <si>
    <t>Adelgade 115, st., 5400 Bogense</t>
  </si>
  <si>
    <t>79f</t>
  </si>
  <si>
    <t>Adelgade 113, 5400 Bogense</t>
  </si>
  <si>
    <t>79g;79m</t>
  </si>
  <si>
    <t>Mejerivej 1B, 1. 1, 5400 Bogense</t>
  </si>
  <si>
    <t>Mejerivej 1B, 1. 2, 5400 Bogense</t>
  </si>
  <si>
    <t>Mejerivej 1B, 1. 3, 5400 Bogense</t>
  </si>
  <si>
    <t>Mejerivej 1B, 1. 4, 5400 Bogense</t>
  </si>
  <si>
    <t>Mejerivej 1B, 1. 5, 5400 Bogense</t>
  </si>
  <si>
    <t>Mejerivej 1B, 1. 6, 5400 Bogense</t>
  </si>
  <si>
    <t>Adelgade 109A, st., 5400 Bogense</t>
  </si>
  <si>
    <t>Adelgade 109C, st., 5400 Bogense</t>
  </si>
  <si>
    <t>Adelgade 109A, 5400 Bogense</t>
  </si>
  <si>
    <t>Adelgade 109B, st., 5400 Bogense</t>
  </si>
  <si>
    <t>79h</t>
  </si>
  <si>
    <t>Adelgade 107, 5400 Bogense</t>
  </si>
  <si>
    <t>79k</t>
  </si>
  <si>
    <t>Adelgade 111, 5400 Bogense</t>
  </si>
  <si>
    <t>80a</t>
  </si>
  <si>
    <t>Adelgade 101, st., 5400 Bogense</t>
  </si>
  <si>
    <t>Adelgade 101, 1. 1, 5400 Bogense</t>
  </si>
  <si>
    <t>Adelgade 101, 2., 5400 Bogense</t>
  </si>
  <si>
    <t>Adelgade 101, 1. 2, 5400 Bogense</t>
  </si>
  <si>
    <t>Adelgade 101, 1. 3, 5400 Bogense</t>
  </si>
  <si>
    <t>Adelgade 101, 5400 Bogense</t>
  </si>
  <si>
    <t>81</t>
  </si>
  <si>
    <t>Adelgade 97, 5400 Bogense</t>
  </si>
  <si>
    <t>Adelgade 97, 1., 5400 Bogense</t>
  </si>
  <si>
    <t>Adelgade 97, st., 5400 Bogense</t>
  </si>
  <si>
    <t>82</t>
  </si>
  <si>
    <t>Adelgade 95, 5400 Bogense</t>
  </si>
  <si>
    <t>Skovvej 32, 1. th, 5400 Bogense</t>
  </si>
  <si>
    <t>Skovvej 32, 1. tv, 5400 Bogense</t>
  </si>
  <si>
    <t>Skovvej 32, 2. th, 5400 Bogense</t>
  </si>
  <si>
    <t>Skovvej 32, 2. tv, 5400 Bogense</t>
  </si>
  <si>
    <t>83a</t>
  </si>
  <si>
    <t>Skovvej 30A, 5400 Bogense</t>
  </si>
  <si>
    <t>Skovvej 30B, 5400 Bogense</t>
  </si>
  <si>
    <t>Skovvej 30C, 1., 5400 Bogense</t>
  </si>
  <si>
    <t>Skovvej 30D, 1. th, 5400 Bogense</t>
  </si>
  <si>
    <t>Skovvej 30D, 1. tv, 5400 Bogense</t>
  </si>
  <si>
    <t>Skovvej 30D, st. th, 5400 Bogense</t>
  </si>
  <si>
    <t>Skovvej 30D, st. tv, 5400 Bogense</t>
  </si>
  <si>
    <t>Skovvej 30E, 1. th, 5400 Bogense</t>
  </si>
  <si>
    <t>Skovvej 30E, 1. tv, 5400 Bogense</t>
  </si>
  <si>
    <t>Skovvej 30E, st., 5400 Bogense</t>
  </si>
  <si>
    <t>84</t>
  </si>
  <si>
    <t>Adelgade 91, 5400 Bogense</t>
  </si>
  <si>
    <t>Adelgade 91, 1., 5400 Bogense</t>
  </si>
  <si>
    <t>85a</t>
  </si>
  <si>
    <t>Adelgade 89, 5400 Bogense</t>
  </si>
  <si>
    <t>86a</t>
  </si>
  <si>
    <t>Adelgade 87A, 5400 Bogense</t>
  </si>
  <si>
    <t>Adelgade 87B, 5400 Bogense</t>
  </si>
  <si>
    <t>Adelgade 87D, 1., 5400 Bogense</t>
  </si>
  <si>
    <t>Adelgade 87D, st., 5400 Bogense</t>
  </si>
  <si>
    <t>Adelgade 87E, 1. th, 5400 Bogense</t>
  </si>
  <si>
    <t>Adelgade 87E, 1. tv, 5400 Bogense</t>
  </si>
  <si>
    <t>Adelgade 87F, 5400 Bogense</t>
  </si>
  <si>
    <t>Adelgade 87G, 5400 Bogense</t>
  </si>
  <si>
    <t>86b</t>
  </si>
  <si>
    <t>Østergade 2, 1. 1, 5400 Bogense</t>
  </si>
  <si>
    <t>Østergade 2, 1. 2, 5400 Bogense</t>
  </si>
  <si>
    <t>Østergade 2, st., 5400 Bogense</t>
  </si>
  <si>
    <t>87a</t>
  </si>
  <si>
    <t>Østergade 4, 5400 Bogense</t>
  </si>
  <si>
    <t>87b</t>
  </si>
  <si>
    <t>Skovvej 16, 5400 Bogense</t>
  </si>
  <si>
    <t>88a</t>
  </si>
  <si>
    <t>Østergade 6, 1., 5400 Bogense</t>
  </si>
  <si>
    <t>Østergade 6, st., 5400 Bogense</t>
  </si>
  <si>
    <t>88b</t>
  </si>
  <si>
    <t>89</t>
  </si>
  <si>
    <t>Skovvej 12A, 5400 Bogense</t>
  </si>
  <si>
    <t>Skovvej 12B, 1., 5400 Bogense</t>
  </si>
  <si>
    <t>Skovvej 12B, 5400 Bogense</t>
  </si>
  <si>
    <t>Skovvej 12C, 1., 5400 Bogense</t>
  </si>
  <si>
    <t>Skovvej 12C, st., 5400 Bogense</t>
  </si>
  <si>
    <t>Østergade 8, st., 5400 Bogense</t>
  </si>
  <si>
    <t>90</t>
  </si>
  <si>
    <t>Østergade 10, 1., 5400 Bogense</t>
  </si>
  <si>
    <t>Østergade 10, 5400 Bogense</t>
  </si>
  <si>
    <t>Østergade 10, st., 5400 Bogense</t>
  </si>
  <si>
    <t>91</t>
  </si>
  <si>
    <t>Østergade 12, 1., 5400 Bogense</t>
  </si>
  <si>
    <t>Østergade 12, st., 5400 Bogense</t>
  </si>
  <si>
    <t>92a</t>
  </si>
  <si>
    <t>Østergade 14, 5400 Bogense</t>
  </si>
  <si>
    <t>Østergade 14A, 5400 Bogense</t>
  </si>
  <si>
    <t>Østergade 14B, 5400 Bogense</t>
  </si>
  <si>
    <t>92b</t>
  </si>
  <si>
    <t>Skovvej 10, 5400 Bogense</t>
  </si>
  <si>
    <t>93a</t>
  </si>
  <si>
    <t>Skovvej 8C, 1. th, 5400 Bogense</t>
  </si>
  <si>
    <t>Skovvej 8C, st. tv, 5400 Bogense</t>
  </si>
  <si>
    <t>93b</t>
  </si>
  <si>
    <t>Østergade 16, 5400 Bogense</t>
  </si>
  <si>
    <t>Østergade 16A, 5400 Bogense</t>
  </si>
  <si>
    <t>Østergade 16B, 1. th, 5400 Bogense</t>
  </si>
  <si>
    <t>Østergade 16B, 1. tv, 5400 Bogense</t>
  </si>
  <si>
    <t>Østergade 16B, 2. th, 5400 Bogense</t>
  </si>
  <si>
    <t>Østergade 16B, 2. tv, 5400 Bogense</t>
  </si>
  <si>
    <t>Østergade 16C, 5400 Bogense</t>
  </si>
  <si>
    <t>94</t>
  </si>
  <si>
    <t>Østergade 18, 5400 Bogense</t>
  </si>
  <si>
    <t>95</t>
  </si>
  <si>
    <t>Østergade 20, 5400 Bogense</t>
  </si>
  <si>
    <t>96</t>
  </si>
  <si>
    <t>Skovvej 6A, 5400 Bogense</t>
  </si>
  <si>
    <t>Skovvej 6B, 5400 Bogense</t>
  </si>
  <si>
    <t>Skovvej 6D, 5400 Bogense</t>
  </si>
  <si>
    <t>Skovvej 6E, 5400 Bogense</t>
  </si>
  <si>
    <t>Østergade 22, 1., 5400 Bogense</t>
  </si>
  <si>
    <t>Østergade 22, 2., 5400 Bogense</t>
  </si>
  <si>
    <t>Østergade 22, st., 5400 Bogense</t>
  </si>
  <si>
    <t>97a</t>
  </si>
  <si>
    <t>Østergade 24, 5400 Bogense</t>
  </si>
  <si>
    <t>97b</t>
  </si>
  <si>
    <t>98</t>
  </si>
  <si>
    <t>Østergade 26, 5400 Bogense</t>
  </si>
  <si>
    <t>99</t>
  </si>
  <si>
    <t>Østergade 28, 5400 Bogense</t>
  </si>
  <si>
    <t>100</t>
  </si>
  <si>
    <t>Østergade 30, 1., 5400 Bogense</t>
  </si>
  <si>
    <t>Østergade 30, st., 5400 Bogense</t>
  </si>
  <si>
    <t>101</t>
  </si>
  <si>
    <t>Østergade 32, 5400 Bogense</t>
  </si>
  <si>
    <t>Østergade 34, 5400 Bogense</t>
  </si>
  <si>
    <t>103c</t>
  </si>
  <si>
    <t>Østergade 13, 5400 Bogense</t>
  </si>
  <si>
    <t>Østergade 15, 5400 Bogense</t>
  </si>
  <si>
    <t>104</t>
  </si>
  <si>
    <t>Østergade 11, 1., 5400 Bogense</t>
  </si>
  <si>
    <t>Østergade 11, st., 5400 Bogense</t>
  </si>
  <si>
    <t>105</t>
  </si>
  <si>
    <t>Østergade 9, 1., 5400 Bogense</t>
  </si>
  <si>
    <t>Østergade 9, 5400 Bogense</t>
  </si>
  <si>
    <t>107a</t>
  </si>
  <si>
    <t>Østergade 5A, 1., 5400 Bogense</t>
  </si>
  <si>
    <t>Østergade 5A, 2., 5400 Bogense</t>
  </si>
  <si>
    <t>Østergade 5B, st., 5400 Bogense</t>
  </si>
  <si>
    <t>108a</t>
  </si>
  <si>
    <t>108c</t>
  </si>
  <si>
    <t>Østergade 3, st. th, 5400 Bogense</t>
  </si>
  <si>
    <t>Østergade 3, st. tv, 5400 Bogense</t>
  </si>
  <si>
    <t>109a</t>
  </si>
  <si>
    <t>Adelgade 85A, 5400 Bogense</t>
  </si>
  <si>
    <t>Adelgade 85B, 5400 Bogense</t>
  </si>
  <si>
    <t>110</t>
  </si>
  <si>
    <t>Adelgade 81, 5400 Bogense</t>
  </si>
  <si>
    <t>111</t>
  </si>
  <si>
    <t>Adelgade 79, 1., 5400 Bogense</t>
  </si>
  <si>
    <t>Adelgade 79, 2., 5400 Bogense</t>
  </si>
  <si>
    <t>Adelgade 79, 5400 Bogense</t>
  </si>
  <si>
    <t>112</t>
  </si>
  <si>
    <t>Adelgade 77, 5400 Bogense</t>
  </si>
  <si>
    <t>Sct. Annagade 22, 1., 5400 Bogense</t>
  </si>
  <si>
    <t>Sct. Annagade 22, 2., 5400 Bogense</t>
  </si>
  <si>
    <t>Sct. Annagade 22, st., 5400 Bogense</t>
  </si>
  <si>
    <t>113</t>
  </si>
  <si>
    <t>Adelgade 75, 1., 5400 Bogense</t>
  </si>
  <si>
    <t>Adelgade 75, st., 5400 Bogense</t>
  </si>
  <si>
    <t>Adelgade 75A, 5400 Bogense</t>
  </si>
  <si>
    <t>114a</t>
  </si>
  <si>
    <t>Adelgade 73A, 1. th, 5400 Bogense</t>
  </si>
  <si>
    <t>Adelgade 73A, 1. tv, 5400 Bogense</t>
  </si>
  <si>
    <t>Adelgade 73A, st., 5400 Bogense</t>
  </si>
  <si>
    <t>Adelgade 73B, 2., 5400 Bogense</t>
  </si>
  <si>
    <t>Adelgade 73C, 5400 Bogense</t>
  </si>
  <si>
    <t>Sct. Annagade 14A, 5400 Bogense</t>
  </si>
  <si>
    <t>Sct. Annagade 14B, 5400 Bogense</t>
  </si>
  <si>
    <t>Sct. Annagade 14C, 5400 Bogense</t>
  </si>
  <si>
    <t>Sct. Annagade 14D, 5400 Bogense</t>
  </si>
  <si>
    <t>114b</t>
  </si>
  <si>
    <t>Sct. Annagade 18, 5400 Bogense</t>
  </si>
  <si>
    <t>115</t>
  </si>
  <si>
    <t>Adelgade 71A, st., 5400 Bogense</t>
  </si>
  <si>
    <t>Adelgade 71B, st., 5400 Bogense</t>
  </si>
  <si>
    <t>Adelgade 71C, st. th, 5400 Bogense</t>
  </si>
  <si>
    <t>Adelgade 71C, st. tv, 5400 Bogense</t>
  </si>
  <si>
    <t>Adelgade 71C, 1. mf, 5400 Bogense</t>
  </si>
  <si>
    <t>Adelgade 71C, 1. th, 5400 Bogense</t>
  </si>
  <si>
    <t>Adelgade 71C, 1. tv, 5400 Bogense</t>
  </si>
  <si>
    <t>Adelgade 71C, 2. th, 5400 Bogense</t>
  </si>
  <si>
    <t>Adelgade 71C, 2. tv, 5400 Bogense</t>
  </si>
  <si>
    <t>Adelgade 71A, 1. tv, 5400 Bogense</t>
  </si>
  <si>
    <t>Adelgade 71A, 1. th, 5400 Bogense</t>
  </si>
  <si>
    <t>Adelgade 71A, 2. tv, 5400 Bogense</t>
  </si>
  <si>
    <t>Adelgade 71A, 2. th, 5400 Bogense</t>
  </si>
  <si>
    <t>116</t>
  </si>
  <si>
    <t>Adelgade 69, 5400 Bogense</t>
  </si>
  <si>
    <t>118</t>
  </si>
  <si>
    <t>Adelgade 67, 5400 Bogense</t>
  </si>
  <si>
    <t>120</t>
  </si>
  <si>
    <t>Rådhusstræde 4, 5400 Bogense</t>
  </si>
  <si>
    <t>121</t>
  </si>
  <si>
    <t>Rådhusstræde 10A, 5400 Bogense</t>
  </si>
  <si>
    <t>122a</t>
  </si>
  <si>
    <t>Sct. Annagade 6, 5400 Bogense</t>
  </si>
  <si>
    <t>122b</t>
  </si>
  <si>
    <t>Rådhusstræde 10, 5400 Bogense</t>
  </si>
  <si>
    <t>122c</t>
  </si>
  <si>
    <t>Sct. Annagade 8, 5400 Bogense</t>
  </si>
  <si>
    <t>123</t>
  </si>
  <si>
    <t>Sct. Annagade 10, 1., 5400 Bogense</t>
  </si>
  <si>
    <t>Sct. Annagade 10, st., 5400 Bogense</t>
  </si>
  <si>
    <t>124a</t>
  </si>
  <si>
    <t>Sct. Annagade 12, 5400 Bogense</t>
  </si>
  <si>
    <t>131</t>
  </si>
  <si>
    <t>Sct. Annagade 26, 5400 Bogense</t>
  </si>
  <si>
    <t>132</t>
  </si>
  <si>
    <t>Sct. Annagade 28, 1., 5400 Bogense</t>
  </si>
  <si>
    <t>Sct. Annagade 28, kl., 5400 Bogense</t>
  </si>
  <si>
    <t>Sct. Annagade 28, st., 5400 Bogense</t>
  </si>
  <si>
    <t>133</t>
  </si>
  <si>
    <t>Østergade 19, 5400 Bogense</t>
  </si>
  <si>
    <t>Østergade 19A, 5400 Bogense</t>
  </si>
  <si>
    <t>Østergade 19B, 1., 5400 Bogense</t>
  </si>
  <si>
    <t>Østergade 19B, st., 5400 Bogense</t>
  </si>
  <si>
    <t>Østergade 19C, st., 5400 Bogense</t>
  </si>
  <si>
    <t>134</t>
  </si>
  <si>
    <t>Sct. Annagade 23, 5400 Bogense</t>
  </si>
  <si>
    <t>135a</t>
  </si>
  <si>
    <t>Teglgårdsvej 16, 5400 Bogense</t>
  </si>
  <si>
    <t>135b</t>
  </si>
  <si>
    <t>Sct. Annagade 21, 5400 Bogense</t>
  </si>
  <si>
    <t>136</t>
  </si>
  <si>
    <t>Sct. Annagade 19, 5400 Bogense</t>
  </si>
  <si>
    <t>137a</t>
  </si>
  <si>
    <t>Sct. Annagade 17, 5400 Bogense</t>
  </si>
  <si>
    <t>137b</t>
  </si>
  <si>
    <t>Teglgårdsvej 12, 5400 Bogense</t>
  </si>
  <si>
    <t>138</t>
  </si>
  <si>
    <t>Sct. Annagade 15A, 5400 Bogense</t>
  </si>
  <si>
    <t>Sct. Annagade 15C, 5400 Bogense</t>
  </si>
  <si>
    <t>Teglgårdsvej 10C, 5400 Bogense</t>
  </si>
  <si>
    <t>Teglgårdsvej 10B, 5400 Bogense</t>
  </si>
  <si>
    <t>Teglgårdsvej 10A, 5400 Bogense</t>
  </si>
  <si>
    <t>Sct. Annagade 15B, 5400 Bogense</t>
  </si>
  <si>
    <t>139a</t>
  </si>
  <si>
    <t>Sct. Annagade 13, 5400 Bogense</t>
  </si>
  <si>
    <t>139b</t>
  </si>
  <si>
    <t>Teglgårdsvej 8, 5400 Bogense</t>
  </si>
  <si>
    <t>140a</t>
  </si>
  <si>
    <t>Sct. Annagade 11, 5400 Bogense</t>
  </si>
  <si>
    <t>140b</t>
  </si>
  <si>
    <t>141b</t>
  </si>
  <si>
    <t>Sct. Annagade 9, 5400 Bogense</t>
  </si>
  <si>
    <t>141d</t>
  </si>
  <si>
    <t>Teglgårdsvej 6, 5400 Bogense</t>
  </si>
  <si>
    <t>142</t>
  </si>
  <si>
    <t>Sct. Annagade 7, 5400 Bogense</t>
  </si>
  <si>
    <t>143</t>
  </si>
  <si>
    <t>Sct. Annagade 5, 5400 Bogense</t>
  </si>
  <si>
    <t>144a</t>
  </si>
  <si>
    <t>Sct. Annagade 3, 5400 Bogense</t>
  </si>
  <si>
    <t>144b</t>
  </si>
  <si>
    <t>Teglgårdsvej 4, 5400 Bogense</t>
  </si>
  <si>
    <t>145a</t>
  </si>
  <si>
    <t>Sct. Annagade 1A, 1. th, 5400 Bogense</t>
  </si>
  <si>
    <t>Sct. Annagade 1A, 1. tv, 5400 Bogense</t>
  </si>
  <si>
    <t>Sct. Annagade 1A, 2. th, 5400 Bogense</t>
  </si>
  <si>
    <t>Sct. Annagade 1A, 2. tv, 5400 Bogense</t>
  </si>
  <si>
    <t>Sct. Annagade 1A, st. th, 5400 Bogense</t>
  </si>
  <si>
    <t>Sct. Annagade 1A, st. tv, 5400 Bogense</t>
  </si>
  <si>
    <t>Sct. Annagade 1B, 5400 Bogense</t>
  </si>
  <si>
    <t>145b</t>
  </si>
  <si>
    <t>Teglgårdsvej 2, 5400 Bogense</t>
  </si>
  <si>
    <t>146</t>
  </si>
  <si>
    <t>Torvegade 16, 1., 5400 Bogense</t>
  </si>
  <si>
    <t>Torvegade 16, 5400 Bogense</t>
  </si>
  <si>
    <t>148</t>
  </si>
  <si>
    <t>Torvegade 12A, 5400 Bogense</t>
  </si>
  <si>
    <t>Torvegade 12B, st., 5400 Bogense</t>
  </si>
  <si>
    <t>149</t>
  </si>
  <si>
    <t>Torvegade 10, 5400 Bogense</t>
  </si>
  <si>
    <t>151</t>
  </si>
  <si>
    <t>Torvegade 6, 5400 Bogense</t>
  </si>
  <si>
    <t>152</t>
  </si>
  <si>
    <t>Torvegade 4, 5400 Bogense</t>
  </si>
  <si>
    <t>153</t>
  </si>
  <si>
    <t>Torvegade 2, 5400 Bogense</t>
  </si>
  <si>
    <t>154</t>
  </si>
  <si>
    <t>Adelgade 55A, 5400 Bogense</t>
  </si>
  <si>
    <t>Adelgade 55B, 5400 Bogense</t>
  </si>
  <si>
    <t>155</t>
  </si>
  <si>
    <t>Adelgade 57A, 5400 Bogense</t>
  </si>
  <si>
    <t>Adelgade 57B, 5400 Bogense</t>
  </si>
  <si>
    <t>Adelgade 57C, 1., 5400 Bogense</t>
  </si>
  <si>
    <t>Adelgade 57C, st., 5400 Bogense</t>
  </si>
  <si>
    <t>156</t>
  </si>
  <si>
    <t>Adelgade 59, 1. th, 5400 Bogense</t>
  </si>
  <si>
    <t>Adelgade 59, st., 5400 Bogense</t>
  </si>
  <si>
    <t>157a</t>
  </si>
  <si>
    <t>Adelgade 61, 1., 5400 Bogense</t>
  </si>
  <si>
    <t>Adelgade 61, st., 5400 Bogense</t>
  </si>
  <si>
    <t>158</t>
  </si>
  <si>
    <t>Adelgade 63, 1., 5400 Bogense</t>
  </si>
  <si>
    <t>Adelgade 63, st., 5400 Bogense</t>
  </si>
  <si>
    <t>159</t>
  </si>
  <si>
    <t>Adelgade 65A, 1. th, 5400 Bogense</t>
  </si>
  <si>
    <t>Adelgade 65A, 1. tv, 5400 Bogense</t>
  </si>
  <si>
    <t>Adelgade 65A, st., 5400 Bogense</t>
  </si>
  <si>
    <t>Adelgade 65B, st., 5400 Bogense</t>
  </si>
  <si>
    <t>Rådhusstræde 1A, 5400 Bogense</t>
  </si>
  <si>
    <t>Rådhusstræde 1B, 5400 Bogense</t>
  </si>
  <si>
    <t>Rådhusstræde 3A, 5400 Bogense</t>
  </si>
  <si>
    <t>Rådhusstræde 3B, 5400 Bogense</t>
  </si>
  <si>
    <t>161b</t>
  </si>
  <si>
    <t>Rådhusstræde 5, 5400 Bogense</t>
  </si>
  <si>
    <t>163</t>
  </si>
  <si>
    <t>Sct. Annagade 4, 5400 Bogense</t>
  </si>
  <si>
    <t>164a</t>
  </si>
  <si>
    <t>164c</t>
  </si>
  <si>
    <t>Sct. Annagade 2C, 5400 Bogense</t>
  </si>
  <si>
    <t>164d</t>
  </si>
  <si>
    <t>Sct. Annagade 2A, 5400 Bogense</t>
  </si>
  <si>
    <t>Sct. Annagade 2B, 1. th, 5400 Bogense</t>
  </si>
  <si>
    <t>Sct. Annagade 2B, 1. tv, 5400 Bogense</t>
  </si>
  <si>
    <t>Sct. Annagade 2B, st., 5400 Bogense</t>
  </si>
  <si>
    <t>165</t>
  </si>
  <si>
    <t>Torvet 1, st. th, 5400 Bogense</t>
  </si>
  <si>
    <t>Torvet 1, st. tv, 5400 Bogense</t>
  </si>
  <si>
    <t>166</t>
  </si>
  <si>
    <t>Torvegade 9, 5400 Bogense</t>
  </si>
  <si>
    <t>167</t>
  </si>
  <si>
    <t>Torvegade 7, 5400 Bogense</t>
  </si>
  <si>
    <t>171a</t>
  </si>
  <si>
    <t>Adelgade 45, 5400 Bogense</t>
  </si>
  <si>
    <t>Adelgade 49, 5400 Bogense</t>
  </si>
  <si>
    <t>171b</t>
  </si>
  <si>
    <t>Torvegade 5, 5400 Bogense</t>
  </si>
  <si>
    <t>176a</t>
  </si>
  <si>
    <t>Adelgade 43, 5400 Bogense</t>
  </si>
  <si>
    <t>177</t>
  </si>
  <si>
    <t>Adelgade 41, 5400 Bogense</t>
  </si>
  <si>
    <t>178</t>
  </si>
  <si>
    <t>Adelgade 39, 5400 Bogense</t>
  </si>
  <si>
    <t>179</t>
  </si>
  <si>
    <t>Adelgade 37, 5400 Bogense</t>
  </si>
  <si>
    <t>180</t>
  </si>
  <si>
    <t>Adelgade 35, 5400 Bogense</t>
  </si>
  <si>
    <t>181</t>
  </si>
  <si>
    <t>Adelgade 33, 5400 Bogense</t>
  </si>
  <si>
    <t>182</t>
  </si>
  <si>
    <t>Adelgade 31, 5400 Bogense</t>
  </si>
  <si>
    <t>183</t>
  </si>
  <si>
    <t>Adelgade 29, 5400 Bogense</t>
  </si>
  <si>
    <t>184</t>
  </si>
  <si>
    <t>Adelgade 27, 5400 Bogense</t>
  </si>
  <si>
    <t>185</t>
  </si>
  <si>
    <t>Adelgade 25, 5400 Bogense</t>
  </si>
  <si>
    <t>186</t>
  </si>
  <si>
    <t>Adelgade 23, 5400 Bogense</t>
  </si>
  <si>
    <t>187a</t>
  </si>
  <si>
    <t>Adelgade 21, 5400 Bogense</t>
  </si>
  <si>
    <t>187b</t>
  </si>
  <si>
    <t>Adelgade 19, 5400 Bogense</t>
  </si>
  <si>
    <t>189</t>
  </si>
  <si>
    <t>Adelgade 17, 5400 Bogense</t>
  </si>
  <si>
    <t>190</t>
  </si>
  <si>
    <t>Adelgade 15A, 5400 Bogense</t>
  </si>
  <si>
    <t>Adelgade 15B, 1., 5400 Bogense</t>
  </si>
  <si>
    <t>Adelgade 15B, st. th, 5400 Bogense</t>
  </si>
  <si>
    <t>Adelgade 15B, st. tv, 5400 Bogense</t>
  </si>
  <si>
    <t>191a</t>
  </si>
  <si>
    <t>Kirkestræde 14, 1. th, 5400 Bogense</t>
  </si>
  <si>
    <t>Kirkestræde 14, 1. tv, 5400 Bogense</t>
  </si>
  <si>
    <t>Kirkestræde 14, 2., 5400 Bogense</t>
  </si>
  <si>
    <t>Kirkestræde 14, st. th, 5400 Bogense</t>
  </si>
  <si>
    <t>Kirkestræde 14, st. tv, 5400 Bogense</t>
  </si>
  <si>
    <t>191b</t>
  </si>
  <si>
    <t>Kirkestræde 12A, 5400 Bogense</t>
  </si>
  <si>
    <t>Kirkestræde 12B, 5400 Bogense</t>
  </si>
  <si>
    <t>193a</t>
  </si>
  <si>
    <t>Kirkestræde 16, 5400 Bogense</t>
  </si>
  <si>
    <t>193b</t>
  </si>
  <si>
    <t>Kirkestræde 18, 5400 Bogense</t>
  </si>
  <si>
    <t>194</t>
  </si>
  <si>
    <t>Kirkestræde 20, 5400 Bogense</t>
  </si>
  <si>
    <t>195</t>
  </si>
  <si>
    <t>Kirkestræde 22, 5400 Bogense</t>
  </si>
  <si>
    <t>198</t>
  </si>
  <si>
    <t>Kirkestræde 28, 5400 Bogense</t>
  </si>
  <si>
    <t>199</t>
  </si>
  <si>
    <t>Kirkestræde 30, 5400 Bogense</t>
  </si>
  <si>
    <t>200a</t>
  </si>
  <si>
    <t>Kirkestræde 32, 5400 Bogense</t>
  </si>
  <si>
    <t>200b</t>
  </si>
  <si>
    <t>Kirkestræde 34, 5400 Bogense</t>
  </si>
  <si>
    <t>202</t>
  </si>
  <si>
    <t>Kirkestræde 38, 5400 Bogense</t>
  </si>
  <si>
    <t>203</t>
  </si>
  <si>
    <t>Torvet 25, 5400 Bogense</t>
  </si>
  <si>
    <t>205</t>
  </si>
  <si>
    <t>Torvet 21, 5400 Bogense</t>
  </si>
  <si>
    <t>206</t>
  </si>
  <si>
    <t>Torvet 19, 5400 Bogense</t>
  </si>
  <si>
    <t>207</t>
  </si>
  <si>
    <t>Torvet 17, 5400 Bogense</t>
  </si>
  <si>
    <t>208</t>
  </si>
  <si>
    <t>Torvet 15, 5400 Bogense</t>
  </si>
  <si>
    <t>209</t>
  </si>
  <si>
    <t>Torvet 13, 1. mf, 5400 Bogense</t>
  </si>
  <si>
    <t>Torvet 13, 1. th, 5400 Bogense</t>
  </si>
  <si>
    <t>Torvet 13, 1. tv, 5400 Bogense</t>
  </si>
  <si>
    <t>Torvet 13, 2. th, 5400 Bogense</t>
  </si>
  <si>
    <t>Torvet 13, 2. tv, 5400 Bogense</t>
  </si>
  <si>
    <t>Torvet 13, st. th, 5400 Bogense</t>
  </si>
  <si>
    <t>Torvet 13, st. tv, 5400 Bogense</t>
  </si>
  <si>
    <t>210</t>
  </si>
  <si>
    <t>Torvet 11, 5400 Bogense</t>
  </si>
  <si>
    <t>211</t>
  </si>
  <si>
    <t>Torvet 9, 5400 Bogense</t>
  </si>
  <si>
    <t>212</t>
  </si>
  <si>
    <t>Torvet 7, 5400 Bogense</t>
  </si>
  <si>
    <t>213</t>
  </si>
  <si>
    <t>Torvet 5, 5400 Bogense</t>
  </si>
  <si>
    <t>214a</t>
  </si>
  <si>
    <t>Torvet 3, 5400 Bogense</t>
  </si>
  <si>
    <t>217</t>
  </si>
  <si>
    <t>Kirkestræde 6, 1., 5400 Bogense</t>
  </si>
  <si>
    <t>Kirkestræde 6, st., 5400 Bogense</t>
  </si>
  <si>
    <t>218</t>
  </si>
  <si>
    <t>Kirkestræde 10A, st., 5400 Bogense</t>
  </si>
  <si>
    <t>Kirkestræde 10B, st., 5400 Bogense</t>
  </si>
  <si>
    <t>Kirkestræde 10C, 1., 5400 Bogense</t>
  </si>
  <si>
    <t>Kirkestræde 10D, 1., 5400 Bogense</t>
  </si>
  <si>
    <t>Kirkestræde 10E, 1., 5400 Bogense</t>
  </si>
  <si>
    <t>Kirkestræde 10F, 1., 5400 Bogense</t>
  </si>
  <si>
    <t>Kirkestræde 4A, 1. th, 5400 Bogense</t>
  </si>
  <si>
    <t>Kirkestræde 4A, 1. tv, 5400 Bogense</t>
  </si>
  <si>
    <t>Kirkestræde 4A, 2., 5400 Bogense</t>
  </si>
  <si>
    <t>Kirkestræde 4B, 5400 Bogense</t>
  </si>
  <si>
    <t>Adelgade 13, 5400 Bogense</t>
  </si>
  <si>
    <t>219</t>
  </si>
  <si>
    <t>Adelgade 1, 5400 Bogense</t>
  </si>
  <si>
    <t>220</t>
  </si>
  <si>
    <t>Adelgade 3, 5400 Bogense</t>
  </si>
  <si>
    <t>221</t>
  </si>
  <si>
    <t>Adelgade 5, 5400 Bogense</t>
  </si>
  <si>
    <t>222a</t>
  </si>
  <si>
    <t>Adelgade 7, 5400 Bogense</t>
  </si>
  <si>
    <t>224</t>
  </si>
  <si>
    <t>Adelgade 11, 5400 Bogense</t>
  </si>
  <si>
    <t>225</t>
  </si>
  <si>
    <t>Kirkestræde 3, 5400 Bogense</t>
  </si>
  <si>
    <t>228</t>
  </si>
  <si>
    <t>Kirkestræde 7, 5400 Bogense</t>
  </si>
  <si>
    <t>229</t>
  </si>
  <si>
    <t>Kirkestræde 9, 5400 Bogense</t>
  </si>
  <si>
    <t>Kirkestræde 9A, 5400 Bogense</t>
  </si>
  <si>
    <t>230</t>
  </si>
  <si>
    <t>Kirkestræde 11, 5400 Bogense</t>
  </si>
  <si>
    <t>231</t>
  </si>
  <si>
    <t>Kirkestræde 13, 5400 Bogense</t>
  </si>
  <si>
    <t>232</t>
  </si>
  <si>
    <t>Kirkestræde 15, 5400 Bogense</t>
  </si>
  <si>
    <t>233</t>
  </si>
  <si>
    <t>Kirkestræde 17, 5400 Bogense</t>
  </si>
  <si>
    <t>234</t>
  </si>
  <si>
    <t>Kirkestræde 19, 5400 Bogense</t>
  </si>
  <si>
    <t>235a</t>
  </si>
  <si>
    <t>Kirkestræde 21, 5400 Bogense</t>
  </si>
  <si>
    <t>235b</t>
  </si>
  <si>
    <t>Kirkestræde 23, 5400 Bogense</t>
  </si>
  <si>
    <t>236a</t>
  </si>
  <si>
    <t>Kirkestræde 25, 5400 Bogense</t>
  </si>
  <si>
    <t>236c</t>
  </si>
  <si>
    <t>Kirkestræde 29, 5400 Bogense</t>
  </si>
  <si>
    <t>237</t>
  </si>
  <si>
    <t>Kirkestræde 27, 5400 Bogense</t>
  </si>
  <si>
    <t>239</t>
  </si>
  <si>
    <t>Kirkestræde 31, 5400 Bogense</t>
  </si>
  <si>
    <t>240</t>
  </si>
  <si>
    <t>Kirkestræde 33, 5400 Bogense</t>
  </si>
  <si>
    <t>241</t>
  </si>
  <si>
    <t>Kirkestræde 35, 5400 Bogense</t>
  </si>
  <si>
    <t>242</t>
  </si>
  <si>
    <t>Kirkestræde 37, 5400 Bogense</t>
  </si>
  <si>
    <t>243</t>
  </si>
  <si>
    <t>Torvet 27, 5400 Bogense</t>
  </si>
  <si>
    <t>245</t>
  </si>
  <si>
    <t>Torvet 31, 5400 Bogense</t>
  </si>
  <si>
    <t>248</t>
  </si>
  <si>
    <t>Torvet 37, 5400 Bogense</t>
  </si>
  <si>
    <t>255b</t>
  </si>
  <si>
    <t>256a</t>
  </si>
  <si>
    <t>Torvet 30, 5400 Bogense</t>
  </si>
  <si>
    <t>257a</t>
  </si>
  <si>
    <t>Torvet 28, 5400 Bogense</t>
  </si>
  <si>
    <t>258a</t>
  </si>
  <si>
    <t>Torvet 26, 5400 Bogense</t>
  </si>
  <si>
    <t>259a</t>
  </si>
  <si>
    <t>Torvet 24, 5400 Bogense</t>
  </si>
  <si>
    <t>261a</t>
  </si>
  <si>
    <t>Torvet 22, 5400 Bogense</t>
  </si>
  <si>
    <t>262a</t>
  </si>
  <si>
    <t>Torvet 20, 5400 Bogense</t>
  </si>
  <si>
    <t>265a</t>
  </si>
  <si>
    <t>Torvet 14, 5400 Bogense</t>
  </si>
  <si>
    <t>266a</t>
  </si>
  <si>
    <t>Torvet 12, 5400 Bogense</t>
  </si>
  <si>
    <t>268a</t>
  </si>
  <si>
    <t>Torvet 8, 5400 Bogense</t>
  </si>
  <si>
    <t>269a</t>
  </si>
  <si>
    <t>Torvet 6, 5400 Bogense</t>
  </si>
  <si>
    <t>270a</t>
  </si>
  <si>
    <t>Torvet 4, 5400 Bogense</t>
  </si>
  <si>
    <t>270b</t>
  </si>
  <si>
    <t>Rolighedsvej 7, 5400 Bogense</t>
  </si>
  <si>
    <t>271a</t>
  </si>
  <si>
    <t>Torvet 2, 5400 Bogense</t>
  </si>
  <si>
    <t>271c</t>
  </si>
  <si>
    <t>Rolighedsvej 5, 5400 Bogense</t>
  </si>
  <si>
    <t>272a</t>
  </si>
  <si>
    <t>Teglgårdsvej 1, 5400 Bogense</t>
  </si>
  <si>
    <t>272b</t>
  </si>
  <si>
    <t>Rolighedsvej 8, 5400 Bogense</t>
  </si>
  <si>
    <t>273b</t>
  </si>
  <si>
    <t>Østergade 23, 5400 Bogense</t>
  </si>
  <si>
    <t>273g</t>
  </si>
  <si>
    <t>Æbeløgade 1, 5400 Bogense</t>
  </si>
  <si>
    <t>273h</t>
  </si>
  <si>
    <t>Teglgårdsvej 3, 5400 Bogense</t>
  </si>
  <si>
    <t>273i</t>
  </si>
  <si>
    <t>Æbeløgade 2A, 5400 Bogense</t>
  </si>
  <si>
    <t>275a</t>
  </si>
  <si>
    <t>Gyldensteensvej 1A, 1., 5400 Bogense</t>
  </si>
  <si>
    <t>Gyldensteensvej 1A, st., 5400 Bogense</t>
  </si>
  <si>
    <t>Gyldensteensvej 1B, st., 5400 Bogense</t>
  </si>
  <si>
    <t>Gyldensteensvej 1C, 1., 5400 Bogense</t>
  </si>
  <si>
    <t>Gyldensteensvej 1D, 5400 Bogense</t>
  </si>
  <si>
    <t>Gyldensteensvej 1E, 5400 Bogense</t>
  </si>
  <si>
    <t>Gyldensteensvej 1F, st. th, 5400 Bogense</t>
  </si>
  <si>
    <t>Gyldensteensvej 1F, st. tv, 5400 Bogense</t>
  </si>
  <si>
    <t>275b</t>
  </si>
  <si>
    <t>Gyldensteensvej 3, 5400 Bogense</t>
  </si>
  <si>
    <t>276</t>
  </si>
  <si>
    <t>Gyldensteensvej 5, 5400 Bogense</t>
  </si>
  <si>
    <t>278</t>
  </si>
  <si>
    <t>Gyldensteensvej 7, 5400 Bogense</t>
  </si>
  <si>
    <t>279a</t>
  </si>
  <si>
    <t>Gyldensteensvej 11, 5400 Bogense</t>
  </si>
  <si>
    <t>279c</t>
  </si>
  <si>
    <t>Gyldensteensvej 9, 5400 Bogense</t>
  </si>
  <si>
    <t>280</t>
  </si>
  <si>
    <t>Gyldensteensvej 2, 5400 Bogense</t>
  </si>
  <si>
    <t>282</t>
  </si>
  <si>
    <t>Skovvej 7A, 5400 Bogense</t>
  </si>
  <si>
    <t>283a</t>
  </si>
  <si>
    <t>Skovvej 7B, 5400 Bogense</t>
  </si>
  <si>
    <t>285a</t>
  </si>
  <si>
    <t>Fionaparken 5, 5400 Bogense</t>
  </si>
  <si>
    <t>285b</t>
  </si>
  <si>
    <t>Skovvej 9, 5400 Bogense</t>
  </si>
  <si>
    <t>285d</t>
  </si>
  <si>
    <t>Skovvej 11, 5400 Bogense</t>
  </si>
  <si>
    <t>285h</t>
  </si>
  <si>
    <t>Poppelvej 1, 5400 Bogense</t>
  </si>
  <si>
    <t>288d</t>
  </si>
  <si>
    <t>290</t>
  </si>
  <si>
    <t>Vestergade 3B, 5400 Bogense</t>
  </si>
  <si>
    <t>293</t>
  </si>
  <si>
    <t>Kirkestræde 39, 5400 Bogense</t>
  </si>
  <si>
    <t>294a</t>
  </si>
  <si>
    <t>Vestre Havnevej 11A, 5400 Bogense</t>
  </si>
  <si>
    <t>295</t>
  </si>
  <si>
    <t>296</t>
  </si>
  <si>
    <t>298</t>
  </si>
  <si>
    <t>Østre Havnevej 2P, 5400 Bogense</t>
  </si>
  <si>
    <t>7000d</t>
  </si>
  <si>
    <t>7000e</t>
  </si>
  <si>
    <t>7000g</t>
  </si>
  <si>
    <t>7000h</t>
  </si>
  <si>
    <t>7000i</t>
  </si>
  <si>
    <t>Vestergade 3P, 5400 Bogense</t>
  </si>
  <si>
    <t>7000k</t>
  </si>
  <si>
    <t>7000l</t>
  </si>
  <si>
    <t>7000m</t>
  </si>
  <si>
    <t>7000n</t>
  </si>
  <si>
    <t>7000o</t>
  </si>
  <si>
    <t>7000p</t>
  </si>
  <si>
    <t>7000q</t>
  </si>
  <si>
    <t>7000r</t>
  </si>
  <si>
    <t>7000s</t>
  </si>
  <si>
    <t>7000t</t>
  </si>
  <si>
    <t>7000u</t>
  </si>
  <si>
    <t>7000v</t>
  </si>
  <si>
    <t>7000x</t>
  </si>
  <si>
    <t>7000y</t>
  </si>
  <si>
    <t>7000z</t>
  </si>
  <si>
    <t>7000æ</t>
  </si>
  <si>
    <t>7000ø</t>
  </si>
  <si>
    <t>7000aa</t>
  </si>
  <si>
    <t>Grønnevej 6, 5400 Bogense</t>
  </si>
  <si>
    <t>1e</t>
  </si>
  <si>
    <t>Æbeløgade 29, 5400 Bogense</t>
  </si>
  <si>
    <t>1f</t>
  </si>
  <si>
    <t>Æbeløgade 16, 5400 Bogense</t>
  </si>
  <si>
    <t>1g</t>
  </si>
  <si>
    <t>1h</t>
  </si>
  <si>
    <t>Æbeløgade 31, 5400 Bogense</t>
  </si>
  <si>
    <t>1i</t>
  </si>
  <si>
    <t>Grønnevej 4, 5400 Bogense</t>
  </si>
  <si>
    <t>1k</t>
  </si>
  <si>
    <t>Æbeløgade 33, 5400 Bogense</t>
  </si>
  <si>
    <t>1l</t>
  </si>
  <si>
    <t>Æbeløgade 35, 5400 Bogense</t>
  </si>
  <si>
    <t>1m</t>
  </si>
  <si>
    <t>Æbeløgade 37, 5400 Bogense</t>
  </si>
  <si>
    <t>1n</t>
  </si>
  <si>
    <t>Æbeløgade 39, 5400 Bogense</t>
  </si>
  <si>
    <t>Grønnevej 2, 5400 Bogense</t>
  </si>
  <si>
    <t>Æbeløgade 41, 5400 Bogense</t>
  </si>
  <si>
    <t>1q</t>
  </si>
  <si>
    <t>Æbeløgade 43, 5400 Bogense</t>
  </si>
  <si>
    <t>1r</t>
  </si>
  <si>
    <t>Æbeløgade 45, 5400 Bogense</t>
  </si>
  <si>
    <t>1s</t>
  </si>
  <si>
    <t>Æbeløgade 18, 5400 Bogense</t>
  </si>
  <si>
    <t>1t</t>
  </si>
  <si>
    <t>1u</t>
  </si>
  <si>
    <t>1v</t>
  </si>
  <si>
    <t>Æbeløgade 20, 5400 Bogense</t>
  </si>
  <si>
    <t>1x</t>
  </si>
  <si>
    <t>Æbeløgade 24, 5400 Bogense</t>
  </si>
  <si>
    <t>1y</t>
  </si>
  <si>
    <t>Æbeløgade 47, 5400 Bogense</t>
  </si>
  <si>
    <t>1z</t>
  </si>
  <si>
    <t>Æbeløgade 49, 5400 Bogense</t>
  </si>
  <si>
    <t>1æ</t>
  </si>
  <si>
    <t>Æbeløgade 51, 5400 Bogense</t>
  </si>
  <si>
    <t>1ø</t>
  </si>
  <si>
    <t>Mågeøvej 1, 5400 Bogense</t>
  </si>
  <si>
    <t>1aa</t>
  </si>
  <si>
    <t>Gyldensteensvej 39, 5400 Bogense</t>
  </si>
  <si>
    <t>Gyldensteensvej 41, 5400 Bogense</t>
  </si>
  <si>
    <t>Gyldensteensvej 43, 5400 Bogense</t>
  </si>
  <si>
    <t>1ad</t>
  </si>
  <si>
    <t>Gyldensteensvej 45, 5400 Bogense</t>
  </si>
  <si>
    <t>1ae</t>
  </si>
  <si>
    <t>Gyldensteensvej 47, 5400 Bogense</t>
  </si>
  <si>
    <t>1af</t>
  </si>
  <si>
    <t>Gyldensteensvej 49, 5400 Bogense</t>
  </si>
  <si>
    <t>1ag</t>
  </si>
  <si>
    <t>Stegøvej 1, 5400 Bogense</t>
  </si>
  <si>
    <t>1ah</t>
  </si>
  <si>
    <t>Stegøvej 3, 5400 Bogense</t>
  </si>
  <si>
    <t>1ai</t>
  </si>
  <si>
    <t>Stegøvej 5, 5400 Bogense</t>
  </si>
  <si>
    <t>1ak</t>
  </si>
  <si>
    <t>Stegøvej 7, 5400 Bogense</t>
  </si>
  <si>
    <t>1al</t>
  </si>
  <si>
    <t>Stegøvej 9, 5400 Bogense</t>
  </si>
  <si>
    <t>1am</t>
  </si>
  <si>
    <t>Stegøvej 11, 5400 Bogense</t>
  </si>
  <si>
    <t>1an</t>
  </si>
  <si>
    <t>Stegøvej 13, 5400 Bogense</t>
  </si>
  <si>
    <t>1ao</t>
  </si>
  <si>
    <t>Stegøvej 15, 5400 Bogense</t>
  </si>
  <si>
    <t>1ap</t>
  </si>
  <si>
    <t>Stegøvej 17, 5400 Bogense</t>
  </si>
  <si>
    <t>1ar</t>
  </si>
  <si>
    <t>Mågeøvej 2, 5400 Bogense</t>
  </si>
  <si>
    <t>Mågeøvej 10, 5400 Bogense</t>
  </si>
  <si>
    <t>Mågeøvej 12, 5400 Bogense</t>
  </si>
  <si>
    <t>Mågeøvej 14, 5400 Bogense</t>
  </si>
  <si>
    <t>Mågeøvej 16, 5400 Bogense</t>
  </si>
  <si>
    <t>Mågeøvej 18, 5400 Bogense</t>
  </si>
  <si>
    <t>Mågeøvej 20, 5400 Bogense</t>
  </si>
  <si>
    <t>Mågeøvej 22, 5400 Bogense</t>
  </si>
  <si>
    <t>Mågeøvej 24, 5400 Bogense</t>
  </si>
  <si>
    <t>Mågeøvej 26, 5400 Bogense</t>
  </si>
  <si>
    <t>Mågeøvej 4, 5400 Bogense</t>
  </si>
  <si>
    <t>Mågeøvej 6, 5400 Bogense</t>
  </si>
  <si>
    <t>Mågeøvej 8, 5400 Bogense</t>
  </si>
  <si>
    <t>1at</t>
  </si>
  <si>
    <t>Æbeløgade 53, 5400 Bogense</t>
  </si>
  <si>
    <t>1au</t>
  </si>
  <si>
    <t>Æbeløgade 22, 5400 Bogense</t>
  </si>
  <si>
    <t>1av</t>
  </si>
  <si>
    <t>Mågeøvej 11, 5400 Bogense</t>
  </si>
  <si>
    <t>Mågeøvej 13, 5400 Bogense</t>
  </si>
  <si>
    <t>Mågeøvej 15, 5400 Bogense</t>
  </si>
  <si>
    <t>Mågeøvej 3, 5400 Bogense</t>
  </si>
  <si>
    <t>Mågeøvej 5, 5400 Bogense</t>
  </si>
  <si>
    <t>Mågeøvej 7, 5400 Bogense</t>
  </si>
  <si>
    <t>Mågeøvej 9, 5400 Bogense</t>
  </si>
  <si>
    <t>Æbeløgade 26, 5400 Bogense</t>
  </si>
  <si>
    <t>1ax</t>
  </si>
  <si>
    <t>Stegøvej 21, 5400 Bogense</t>
  </si>
  <si>
    <t>1ay</t>
  </si>
  <si>
    <t>Æbeløvænget 1, 5400 Bogense</t>
  </si>
  <si>
    <t>1az</t>
  </si>
  <si>
    <t>Æbeløvænget 3, 5400 Bogense</t>
  </si>
  <si>
    <t>1aæ</t>
  </si>
  <si>
    <t>Æbeløvænget 5, 5400 Bogense</t>
  </si>
  <si>
    <t>1aø</t>
  </si>
  <si>
    <t>Æbeløvænget 7, 5400 Bogense</t>
  </si>
  <si>
    <t>1ba</t>
  </si>
  <si>
    <t>Æbeløvænget 9, 5400 Bogense</t>
  </si>
  <si>
    <t>1bb</t>
  </si>
  <si>
    <t>Æbeløvænget 11, 5400 Bogense</t>
  </si>
  <si>
    <t>1bc</t>
  </si>
  <si>
    <t>Æbeløvænget 13, 5400 Bogense</t>
  </si>
  <si>
    <t>1bd</t>
  </si>
  <si>
    <t>Æbeløvænget 15, 5400 Bogense</t>
  </si>
  <si>
    <t>Grønnevej 7, 5400 Bogense</t>
  </si>
  <si>
    <t>3c</t>
  </si>
  <si>
    <t>Odensevej 69, 5400 Bogense</t>
  </si>
  <si>
    <t>3i</t>
  </si>
  <si>
    <t>Odensevej 55, 5400 Bogense</t>
  </si>
  <si>
    <t>3k</t>
  </si>
  <si>
    <t>Odensevej 57, 5400 Bogense</t>
  </si>
  <si>
    <t>3l</t>
  </si>
  <si>
    <t>Odensevej 59, 5400 Bogense</t>
  </si>
  <si>
    <t>3m</t>
  </si>
  <si>
    <t>Odensevej 61, 5400 Bogense</t>
  </si>
  <si>
    <t>Odensevej 61, 1., 5400 Bogense</t>
  </si>
  <si>
    <t>Odensevej 61, st., 5400 Bogense</t>
  </si>
  <si>
    <t>3n</t>
  </si>
  <si>
    <t>Odensevej 71, 5400 Bogense</t>
  </si>
  <si>
    <t>3o</t>
  </si>
  <si>
    <t>Odensevej 63, 5400 Bogense</t>
  </si>
  <si>
    <t>3p</t>
  </si>
  <si>
    <t>Odensevej 63A, 5400 Bogense</t>
  </si>
  <si>
    <t>3q</t>
  </si>
  <si>
    <t>Falkevej 8, 5400 Bogense</t>
  </si>
  <si>
    <t>3r</t>
  </si>
  <si>
    <t>Odensevej 67, 5400 Bogense</t>
  </si>
  <si>
    <t>3s</t>
  </si>
  <si>
    <t>Grønnevej 8, 1, 5400 Bogense</t>
  </si>
  <si>
    <t>Grønnevej 8, 10, 5400 Bogense</t>
  </si>
  <si>
    <t>Grønnevej 8, 11, 5400 Bogense</t>
  </si>
  <si>
    <t>Grønnevej 8, 12, 5400 Bogense</t>
  </si>
  <si>
    <t>Grønnevej 8, 13, 5400 Bogense</t>
  </si>
  <si>
    <t>Grønnevej 8, 14, 5400 Bogense</t>
  </si>
  <si>
    <t>Grønnevej 8, 15, 5400 Bogense</t>
  </si>
  <si>
    <t>Grønnevej 8, 16, 5400 Bogense</t>
  </si>
  <si>
    <t>Grønnevej 8, 17, 5400 Bogense</t>
  </si>
  <si>
    <t>Grønnevej 8, 18, 5400 Bogense</t>
  </si>
  <si>
    <t>Grønnevej 8, 19, 5400 Bogense</t>
  </si>
  <si>
    <t>Grønnevej 8, 2, 5400 Bogense</t>
  </si>
  <si>
    <t>Grønnevej 8, 20, 5400 Bogense</t>
  </si>
  <si>
    <t>Grønnevej 8, 21, 5400 Bogense</t>
  </si>
  <si>
    <t>Grønnevej 8, 22, 5400 Bogense</t>
  </si>
  <si>
    <t>Grønnevej 8, 23, 5400 Bogense</t>
  </si>
  <si>
    <t>Grønnevej 8, 24, 5400 Bogense</t>
  </si>
  <si>
    <t>Grønnevej 8, 25, 5400 Bogense</t>
  </si>
  <si>
    <t>Grønnevej 8, 26, 5400 Bogense</t>
  </si>
  <si>
    <t>Grønnevej 8, 27, 5400 Bogense</t>
  </si>
  <si>
    <t>Grønnevej 8, 28, 5400 Bogense</t>
  </si>
  <si>
    <t>Grønnevej 8, 29, 5400 Bogense</t>
  </si>
  <si>
    <t>Grønnevej 8, 3, 5400 Bogense</t>
  </si>
  <si>
    <t>Grønnevej 8, 30, 5400 Bogense</t>
  </si>
  <si>
    <t>Grønnevej 8, 31, 5400 Bogense</t>
  </si>
  <si>
    <t>Grønnevej 8, 32, 5400 Bogense</t>
  </si>
  <si>
    <t>Grønnevej 8, 33, 5400 Bogense</t>
  </si>
  <si>
    <t>Grønnevej 8, 34, 5400 Bogense</t>
  </si>
  <si>
    <t>Grønnevej 8, 35, 5400 Bogense</t>
  </si>
  <si>
    <t>Grønnevej 8, 36, 5400 Bogense</t>
  </si>
  <si>
    <t>Grønnevej 8, 37, 5400 Bogense</t>
  </si>
  <si>
    <t>Grønnevej 8, 38, 5400 Bogense</t>
  </si>
  <si>
    <t>Grønnevej 8, 39, 5400 Bogense</t>
  </si>
  <si>
    <t>Grønnevej 8, 4, 5400 Bogense</t>
  </si>
  <si>
    <t>Grønnevej 8, 40, 5400 Bogense</t>
  </si>
  <si>
    <t>Grønnevej 8, 41, 5400 Bogense</t>
  </si>
  <si>
    <t>Grønnevej 8, 42, 5400 Bogense</t>
  </si>
  <si>
    <t>Grønnevej 8, 43, 5400 Bogense</t>
  </si>
  <si>
    <t>Grønnevej 8, 44, 5400 Bogense</t>
  </si>
  <si>
    <t>Grønnevej 8, 45, 5400 Bogense</t>
  </si>
  <si>
    <t>Grønnevej 8, 46, 5400 Bogense</t>
  </si>
  <si>
    <t>Grønnevej 8, 48, 5400 Bogense</t>
  </si>
  <si>
    <t>Grønnevej 8, 49, 5400 Bogense</t>
  </si>
  <si>
    <t>Grønnevej 8, 5, 5400 Bogense</t>
  </si>
  <si>
    <t>Grønnevej 8, 52, 5400 Bogense</t>
  </si>
  <si>
    <t>Grønnevej 8, 56, 5400 Bogense</t>
  </si>
  <si>
    <t>Grønnevej 8, 58, 5400 Bogense</t>
  </si>
  <si>
    <t>Grønnevej 8, 59, 5400 Bogense</t>
  </si>
  <si>
    <t>Grønnevej 8, 6, 5400 Bogense</t>
  </si>
  <si>
    <t>Grønnevej 8, 60, 5400 Bogense</t>
  </si>
  <si>
    <t>Grønnevej 8, 61, 5400 Bogense</t>
  </si>
  <si>
    <t>Grønnevej 8, 62, 5400 Bogense</t>
  </si>
  <si>
    <t>Grønnevej 8, 63, 5400 Bogense</t>
  </si>
  <si>
    <t>Grønnevej 8, 7, 5400 Bogense</t>
  </si>
  <si>
    <t>Grønnevej 8, 8, 5400 Bogense</t>
  </si>
  <si>
    <t>Grønnevej 8, 9, 5400 Bogense</t>
  </si>
  <si>
    <t>Grønnevej 8A, 5400 Bogense</t>
  </si>
  <si>
    <t>Grønnevej 8, 73, 5400 Bogense</t>
  </si>
  <si>
    <t>Grønnevej 8, 72, 5400 Bogense</t>
  </si>
  <si>
    <t>Grønnevej 8, 65, 5400 Bogense</t>
  </si>
  <si>
    <t>Grønnevej 8, 66, 5400 Bogense</t>
  </si>
  <si>
    <t>Grønnevej 8, 67, 5400 Bogense</t>
  </si>
  <si>
    <t>Grønnevej 8, 71, 5400 Bogense</t>
  </si>
  <si>
    <t>Grønnevej 8, 68, 5400 Bogense</t>
  </si>
  <si>
    <t>Grønnevej 8, 69, 5400 Bogense</t>
  </si>
  <si>
    <t>Grønnevej 8, 70, 5400 Bogense</t>
  </si>
  <si>
    <t>3t</t>
  </si>
  <si>
    <t>3u</t>
  </si>
  <si>
    <t>Odensevej 83, 5400 Bogense</t>
  </si>
  <si>
    <t>3v</t>
  </si>
  <si>
    <t>Odensevej 51, 5400 Bogense</t>
  </si>
  <si>
    <t>3x</t>
  </si>
  <si>
    <t>Odensevej 81, 5400 Bogense</t>
  </si>
  <si>
    <t>3y</t>
  </si>
  <si>
    <t>3z</t>
  </si>
  <si>
    <t>Odensevej 49, 5400 Bogense</t>
  </si>
  <si>
    <t>3æ</t>
  </si>
  <si>
    <t>Odensevej 45, 5400 Bogense</t>
  </si>
  <si>
    <t>3ad</t>
  </si>
  <si>
    <t>Odensevej 53A, 5400 Bogense</t>
  </si>
  <si>
    <t>3ag</t>
  </si>
  <si>
    <t>Falkevej 10, 5400 Bogense</t>
  </si>
  <si>
    <t>3ah</t>
  </si>
  <si>
    <t>Hjortevænget 15, 5400 Bogense</t>
  </si>
  <si>
    <t>3ai</t>
  </si>
  <si>
    <t>Hjortevænget 13, 5400 Bogense</t>
  </si>
  <si>
    <t>3ak</t>
  </si>
  <si>
    <t>Hjortevænget 11, 5400 Bogense</t>
  </si>
  <si>
    <t>4i</t>
  </si>
  <si>
    <t>Odensevej 108, 5400 Bogense</t>
  </si>
  <si>
    <t>4k</t>
  </si>
  <si>
    <t>Odensevej 112, 5400 Bogense</t>
  </si>
  <si>
    <t>Odensevej 112, 1., 5400 Bogense</t>
  </si>
  <si>
    <t>Odensevej 112, st., 5400 Bogense</t>
  </si>
  <si>
    <t>4o</t>
  </si>
  <si>
    <t>Odensevej 104, 5400 Bogense</t>
  </si>
  <si>
    <t>4ø</t>
  </si>
  <si>
    <t>4ae</t>
  </si>
  <si>
    <t>Jyllandsvej 9, 5400 Bogense</t>
  </si>
  <si>
    <t>4af</t>
  </si>
  <si>
    <t>Jyllandsvej 2A, 5400 Bogense</t>
  </si>
  <si>
    <t>Jyllandsvej 2B, 5400 Bogense</t>
  </si>
  <si>
    <t>4ag</t>
  </si>
  <si>
    <t>Odensevej 100, 5400 Bogense</t>
  </si>
  <si>
    <t>4ah</t>
  </si>
  <si>
    <t>Odensevej 98, 5400 Bogense</t>
  </si>
  <si>
    <t>4ai</t>
  </si>
  <si>
    <t>Odensevej 96, 5400 Bogense</t>
  </si>
  <si>
    <t>4ak</t>
  </si>
  <si>
    <t>Odensevej 94, 5400 Bogense</t>
  </si>
  <si>
    <t>4al</t>
  </si>
  <si>
    <t>Jyllandsvej 1, 5400 Bogense</t>
  </si>
  <si>
    <t>4aq</t>
  </si>
  <si>
    <t>Sjællandsvej 1A, 5400 Bogense</t>
  </si>
  <si>
    <t>Sjællandsvej 1B, 5400 Bogense</t>
  </si>
  <si>
    <t>4ar</t>
  </si>
  <si>
    <t>Sjællandsvej 2, 5400 Bogense</t>
  </si>
  <si>
    <t>4as</t>
  </si>
  <si>
    <t>Sjællandsvej 7, 5400 Bogense</t>
  </si>
  <si>
    <t>4au</t>
  </si>
  <si>
    <t>Sjællandsvej 3, 5400 Bogense</t>
  </si>
  <si>
    <t>4av</t>
  </si>
  <si>
    <t>Almindevej 3, 5400 Bogense</t>
  </si>
  <si>
    <t>4ay</t>
  </si>
  <si>
    <t>Jyllandsvej 11, 5400 Bogense</t>
  </si>
  <si>
    <t>4az</t>
  </si>
  <si>
    <t>Fynsvej 14, 5400 Bogense</t>
  </si>
  <si>
    <t>4aæ</t>
  </si>
  <si>
    <t>Fynsvej 1, 5400 Bogense</t>
  </si>
  <si>
    <t>4aø</t>
  </si>
  <si>
    <t>Jyllandsvej 15, 5400 Bogense</t>
  </si>
  <si>
    <t>4bb</t>
  </si>
  <si>
    <t>Fynsvej 3, 5400 Bogense</t>
  </si>
  <si>
    <t>Borgmesterløkken 1, 5400 Bogense</t>
  </si>
  <si>
    <t>Stegøvej 40, 5400 Bogense</t>
  </si>
  <si>
    <t>8a</t>
  </si>
  <si>
    <t>Æbeløgade 13, 5400 Bogense</t>
  </si>
  <si>
    <t>8c</t>
  </si>
  <si>
    <t>Æbeløgade 4, 1., 5400 Bogense</t>
  </si>
  <si>
    <t>Æbeløgade 4, st., 5400 Bogense</t>
  </si>
  <si>
    <t>8d</t>
  </si>
  <si>
    <t>Æbeløgade 6, 5400 Bogense</t>
  </si>
  <si>
    <t>8f</t>
  </si>
  <si>
    <t>Reberbanen 1B, 5400 Bogense</t>
  </si>
  <si>
    <t>8g</t>
  </si>
  <si>
    <t>Æbeløgade 27, 5400 Bogense</t>
  </si>
  <si>
    <t>8i</t>
  </si>
  <si>
    <t>Æbeløgade 25, 5400 Bogense</t>
  </si>
  <si>
    <t>8k</t>
  </si>
  <si>
    <t>Æbeløgade 3, 5400 Bogense</t>
  </si>
  <si>
    <t>8l</t>
  </si>
  <si>
    <t>Æbeløgade 23, 5400 Bogense</t>
  </si>
  <si>
    <t>8m</t>
  </si>
  <si>
    <t>Æbeløgade 21, 5400 Bogense</t>
  </si>
  <si>
    <t>8n</t>
  </si>
  <si>
    <t>Æbeløgade 19, 5400 Bogense</t>
  </si>
  <si>
    <t>8o</t>
  </si>
  <si>
    <t>Æbeløgade 5, 5400 Bogense</t>
  </si>
  <si>
    <t>8p</t>
  </si>
  <si>
    <t>8q</t>
  </si>
  <si>
    <t>Æbeløgade 7, 5400 Bogense</t>
  </si>
  <si>
    <t>8r</t>
  </si>
  <si>
    <t>Æbeløgade 17, 5400 Bogense</t>
  </si>
  <si>
    <t>8t</t>
  </si>
  <si>
    <t>Æbeløgade 15, 5400 Bogense</t>
  </si>
  <si>
    <t>8u</t>
  </si>
  <si>
    <t>Æbeløgade 9, 5400 Bogense</t>
  </si>
  <si>
    <t>8v</t>
  </si>
  <si>
    <t>Æbeløgade 11, 5400 Bogense</t>
  </si>
  <si>
    <t>8x</t>
  </si>
  <si>
    <t>Æbeløgade 8, 5400 Bogense</t>
  </si>
  <si>
    <t>8y</t>
  </si>
  <si>
    <t>Æbeløgade 10, 5400 Bogense</t>
  </si>
  <si>
    <t>8z</t>
  </si>
  <si>
    <t>Lindøvej 12, 5400 Bogense</t>
  </si>
  <si>
    <t>Lindøvej 14, 5400 Bogense</t>
  </si>
  <si>
    <t>Lindøvej 16, 5400 Bogense</t>
  </si>
  <si>
    <t>Lindøvej 18, 5400 Bogense</t>
  </si>
  <si>
    <t>Æbeløgade 14, 5400 Bogense</t>
  </si>
  <si>
    <t>Æbeløgade 14A, 5400 Bogense</t>
  </si>
  <si>
    <t>8aa</t>
  </si>
  <si>
    <t>Lindøvej 10, 5400 Bogense</t>
  </si>
  <si>
    <t>8ab</t>
  </si>
  <si>
    <t>Æbeløgade 12, 5400 Bogense</t>
  </si>
  <si>
    <t>8ac</t>
  </si>
  <si>
    <t>Lindøvej 9, 5400 Bogense</t>
  </si>
  <si>
    <t>8ad</t>
  </si>
  <si>
    <t>Reberbanen 11, 5400 Bogense</t>
  </si>
  <si>
    <t>8ae</t>
  </si>
  <si>
    <t>Reberbanen 9, 5400 Bogense</t>
  </si>
  <si>
    <t>8af</t>
  </si>
  <si>
    <t>Reberbanen 7, 5400 Bogense</t>
  </si>
  <si>
    <t>8ag</t>
  </si>
  <si>
    <t>Reberbanen 5, 5400 Bogense</t>
  </si>
  <si>
    <t>8ah</t>
  </si>
  <si>
    <t>Reberbanen 3, 5400 Bogense</t>
  </si>
  <si>
    <t>Gyldensteensvej 8, 1. th, 5400 Bogense</t>
  </si>
  <si>
    <t>Gyldensteensvej 8, 1. tv, 5400 Bogense</t>
  </si>
  <si>
    <t>Gyldensteensvej 8, 2., 5400 Bogense</t>
  </si>
  <si>
    <t>Gyldensteensvej 8, st. th, 5400 Bogense</t>
  </si>
  <si>
    <t>Gyldensteensvej 8, st. tv, 5400 Bogense</t>
  </si>
  <si>
    <t>9d</t>
  </si>
  <si>
    <t>Gyldensteensvej 10C, 5400 Bogense</t>
  </si>
  <si>
    <t>12b</t>
  </si>
  <si>
    <t>Mejerivej 7, 5400 Bogense</t>
  </si>
  <si>
    <t>12d</t>
  </si>
  <si>
    <t>Skovbrovej 9D, 5400 Bogense</t>
  </si>
  <si>
    <t>Skovbrovej 9D, 1., 5400 Bogense</t>
  </si>
  <si>
    <t>Skovbrovej 9D, 2., 5400 Bogense</t>
  </si>
  <si>
    <t>Skovbrovej 9D, st., 5400 Bogense</t>
  </si>
  <si>
    <t>12g</t>
  </si>
  <si>
    <t>Søndermarksvej 19, 5400 Bogense</t>
  </si>
  <si>
    <t>Søndermarksvej 21, 5400 Bogense</t>
  </si>
  <si>
    <t>Søndermarksvej 23, 5400 Bogense</t>
  </si>
  <si>
    <t>Søndermarksvej 25, 5400 Bogense</t>
  </si>
  <si>
    <t>Søndermarksvej 27, 5400 Bogense</t>
  </si>
  <si>
    <t>Søndermarksvej 29, 5400 Bogense</t>
  </si>
  <si>
    <t>Søndermarksvej 31, 5400 Bogense</t>
  </si>
  <si>
    <t>Søndermarksvej 33, 5400 Bogense</t>
  </si>
  <si>
    <t>Søndermarksvej 35, 5400 Bogense</t>
  </si>
  <si>
    <t>Søndermarksvej 37, 5400 Bogense</t>
  </si>
  <si>
    <t>Søndermarksvej 39, 5400 Bogense</t>
  </si>
  <si>
    <t>Søndermarksvej 41, 5400 Bogense</t>
  </si>
  <si>
    <t>Søndermarksvej 43, 5400 Bogense</t>
  </si>
  <si>
    <t>12h</t>
  </si>
  <si>
    <t>Fuglebakken 24P, 5400 Bogense</t>
  </si>
  <si>
    <t>12q</t>
  </si>
  <si>
    <t>Østre Engvej 25, 5400 Bogense</t>
  </si>
  <si>
    <t>Østre Engvej 25, 1. th, 5400 Bogense</t>
  </si>
  <si>
    <t>Østre Engvej 25, 1. tv, 5400 Bogense</t>
  </si>
  <si>
    <t>Østre Engvej 25, st. th, 5400 Bogense</t>
  </si>
  <si>
    <t>Østre Engvej 25, st. tv, 5400 Bogense</t>
  </si>
  <si>
    <t>Østre Engvej 27, 1. th, 5400 Bogense</t>
  </si>
  <si>
    <t>Østre Engvej 27, 1. tv, 5400 Bogense</t>
  </si>
  <si>
    <t>Østre Engvej 27, st. th, 5400 Bogense</t>
  </si>
  <si>
    <t>Østre Engvej 27, st. tv, 5400 Bogense</t>
  </si>
  <si>
    <t>Østre Engvej 29, 1. th, 5400 Bogense</t>
  </si>
  <si>
    <t>Østre Engvej 29, 1. tv, 5400 Bogense</t>
  </si>
  <si>
    <t>Østre Engvej 29, st. th, 5400 Bogense</t>
  </si>
  <si>
    <t>Østre Engvej 29, st. tv, 5400 Bogense</t>
  </si>
  <si>
    <t>Østre Engvej 31, 1. th, 5400 Bogense</t>
  </si>
  <si>
    <t>Østre Engvej 31, 1. tv, 5400 Bogense</t>
  </si>
  <si>
    <t>Østre Engvej 31, st. th, 5400 Bogense</t>
  </si>
  <si>
    <t>Østre Engvej 31, st. tv, 5400 Bogense</t>
  </si>
  <si>
    <t>12v</t>
  </si>
  <si>
    <t>Mejerivej 8, 5400 Bogense</t>
  </si>
  <si>
    <t>12x</t>
  </si>
  <si>
    <t>Mejerivej 12, 5400 Bogense</t>
  </si>
  <si>
    <t>12æ</t>
  </si>
  <si>
    <t>Mejerivej 6, 5400 Bogense</t>
  </si>
  <si>
    <t>Mejerivej 6, 1., 5400 Bogense</t>
  </si>
  <si>
    <t>Mejerivej 6, kl., 5400 Bogense</t>
  </si>
  <si>
    <t>Mejerivej 6, st., 5400 Bogense</t>
  </si>
  <si>
    <t>12ø</t>
  </si>
  <si>
    <t>Mejerivej 5, 5400 Bogense</t>
  </si>
  <si>
    <t>12aa</t>
  </si>
  <si>
    <t>12ad</t>
  </si>
  <si>
    <t>Mejerivej 3, 5400 Bogense</t>
  </si>
  <si>
    <t>12ae</t>
  </si>
  <si>
    <t>Skovbrovej 12, 5400 Bogense</t>
  </si>
  <si>
    <t>Skovbrovej 12, 1., 5400 Bogense</t>
  </si>
  <si>
    <t>Skovbrovej 12, st., 5400 Bogense</t>
  </si>
  <si>
    <t>12af</t>
  </si>
  <si>
    <t>Skovbrovej 10, 5400 Bogense</t>
  </si>
  <si>
    <t>12ag</t>
  </si>
  <si>
    <t>Skovbrovej 8, 5400 Bogense</t>
  </si>
  <si>
    <t>12ah</t>
  </si>
  <si>
    <t>Søndermarksvej 13, 5400 Bogense</t>
  </si>
  <si>
    <t>Søndermarksvej 15, 5400 Bogense</t>
  </si>
  <si>
    <t>Søndermarksvej 17, 5400 Bogense</t>
  </si>
  <si>
    <t>12al</t>
  </si>
  <si>
    <t>Skovbrovej 6, 5400 Bogense</t>
  </si>
  <si>
    <t>12am</t>
  </si>
  <si>
    <t>Skovbrovej 5, 5400 Bogense</t>
  </si>
  <si>
    <t>12ap</t>
  </si>
  <si>
    <t>Skovbrovej 3, 5400 Bogense</t>
  </si>
  <si>
    <t>12aq</t>
  </si>
  <si>
    <t>Skovbrovej 21, 5400 Bogense</t>
  </si>
  <si>
    <t>12at</t>
  </si>
  <si>
    <t>12au</t>
  </si>
  <si>
    <t>Kalkværksvej 7, 5400 Bogense</t>
  </si>
  <si>
    <t>12av</t>
  </si>
  <si>
    <t>Skovbrovej 7, 5400 Bogense</t>
  </si>
  <si>
    <t>12ax</t>
  </si>
  <si>
    <t>Søndermarksvej 5, 1., 5400 Bogense</t>
  </si>
  <si>
    <t>Søndermarksvej 5, st., 5400 Bogense</t>
  </si>
  <si>
    <t>Søndermarksvej 7, 1., 5400 Bogense</t>
  </si>
  <si>
    <t>Søndermarksvej 7, st., 5400 Bogense</t>
  </si>
  <si>
    <t>Søndermarksvej 9, 1., 5400 Bogense</t>
  </si>
  <si>
    <t>Søndermarksvej 9, st., 5400 Bogense</t>
  </si>
  <si>
    <t>12az</t>
  </si>
  <si>
    <t>Skovbrovej 13, 5400 Bogense</t>
  </si>
  <si>
    <t>12aæ</t>
  </si>
  <si>
    <t>Skovbrovej 15, 5400 Bogense</t>
  </si>
  <si>
    <t>12ba</t>
  </si>
  <si>
    <t>Kalkværksvej 5, 5400 Bogense</t>
  </si>
  <si>
    <t>12bb</t>
  </si>
  <si>
    <t>Skovbrovej 17, 5400 Bogense</t>
  </si>
  <si>
    <t>12bc</t>
  </si>
  <si>
    <t>Skovbrovej 22, 5400 Bogense</t>
  </si>
  <si>
    <t>12bd</t>
  </si>
  <si>
    <t>Skovbrovej 14, 5400 Bogense</t>
  </si>
  <si>
    <t>12be</t>
  </si>
  <si>
    <t>Skovbrovej 18, 5400 Bogense</t>
  </si>
  <si>
    <t>12bf</t>
  </si>
  <si>
    <t>Skovbrovej 20, 5400 Bogense</t>
  </si>
  <si>
    <t>12bg</t>
  </si>
  <si>
    <t>Skovbrovej 19, 5400 Bogense</t>
  </si>
  <si>
    <t>12bh</t>
  </si>
  <si>
    <t>Søndermarksvej 11, 5400 Bogense</t>
  </si>
  <si>
    <t>12bk</t>
  </si>
  <si>
    <t>Skovbrovej 16, 5400 Bogense</t>
  </si>
  <si>
    <t>12bl</t>
  </si>
  <si>
    <t>Mejerivej 8A, 5400 Bogense</t>
  </si>
  <si>
    <t>Mejerivej 8A, 1., 5400 Bogense</t>
  </si>
  <si>
    <t>Mejerivej 8A, st., 5400 Bogense</t>
  </si>
  <si>
    <t>12bm</t>
  </si>
  <si>
    <t>Mejerivej 10, 5400 Bogense</t>
  </si>
  <si>
    <t>12bo</t>
  </si>
  <si>
    <t>12bp</t>
  </si>
  <si>
    <t>12bq</t>
  </si>
  <si>
    <t>Plantagevænget 1, 5400 Bogense</t>
  </si>
  <si>
    <t>12br</t>
  </si>
  <si>
    <t>Plantagevænget 3, 5400 Bogense</t>
  </si>
  <si>
    <t>12bs</t>
  </si>
  <si>
    <t>Plantagevænget 5, 5400 Bogense</t>
  </si>
  <si>
    <t>12bt</t>
  </si>
  <si>
    <t>Plantagevænget 7, 5400 Bogense</t>
  </si>
  <si>
    <t>12bu</t>
  </si>
  <si>
    <t>Plantagevænget 9, 5400 Bogense</t>
  </si>
  <si>
    <t>12bv</t>
  </si>
  <si>
    <t>Plantagevænget 10, 5400 Bogense</t>
  </si>
  <si>
    <t>12bx</t>
  </si>
  <si>
    <t>Plantagevænget 8, 5400 Bogense</t>
  </si>
  <si>
    <t>12by</t>
  </si>
  <si>
    <t>Plantagevænget 6, 5400 Bogense</t>
  </si>
  <si>
    <t>12bz</t>
  </si>
  <si>
    <t>Plantagevænget 4, 5400 Bogense</t>
  </si>
  <si>
    <t>12bæ</t>
  </si>
  <si>
    <t>Plantagevænget 2, 5400 Bogense</t>
  </si>
  <si>
    <t>12bø</t>
  </si>
  <si>
    <t>Skovbrovej 23, 5400 Bogense</t>
  </si>
  <si>
    <t>12ca</t>
  </si>
  <si>
    <t>Rugvænget 6, 5400 Bogense</t>
  </si>
  <si>
    <t>12cb</t>
  </si>
  <si>
    <t>Rugvænget 5, 5400 Bogense</t>
  </si>
  <si>
    <t>12cc</t>
  </si>
  <si>
    <t>Havrevænget 6, 5400 Bogense</t>
  </si>
  <si>
    <t>12cd</t>
  </si>
  <si>
    <t>Havrevænget 5, 5400 Bogense</t>
  </si>
  <si>
    <t>12ce</t>
  </si>
  <si>
    <t>Rugvænget 4, 5400 Bogense</t>
  </si>
  <si>
    <t>12cf</t>
  </si>
  <si>
    <t>Rugvænget 3, 5400 Bogense</t>
  </si>
  <si>
    <t>12cg</t>
  </si>
  <si>
    <t>Havrevænget 4, 5400 Bogense</t>
  </si>
  <si>
    <t>12ch</t>
  </si>
  <si>
    <t>Havrevænget 3, 5400 Bogense</t>
  </si>
  <si>
    <t>12ci</t>
  </si>
  <si>
    <t>Rugvænget 2, 5400 Bogense</t>
  </si>
  <si>
    <t>12ck</t>
  </si>
  <si>
    <t>Kornmarken 2, 5400 Bogense</t>
  </si>
  <si>
    <t>12cl</t>
  </si>
  <si>
    <t>Havrevænget 2, 5400 Bogense</t>
  </si>
  <si>
    <t>12cm</t>
  </si>
  <si>
    <t>Havrevænget 1, 5400 Bogense</t>
  </si>
  <si>
    <t>12cn</t>
  </si>
  <si>
    <t>Kornmarken 1, 5400 Bogense</t>
  </si>
  <si>
    <t>12co</t>
  </si>
  <si>
    <t>Kornmarken 3, 5400 Bogense</t>
  </si>
  <si>
    <t>12cp</t>
  </si>
  <si>
    <t>Kornmarken 5, 5400 Bogense</t>
  </si>
  <si>
    <t>12cq</t>
  </si>
  <si>
    <t>Kornmarken 7, 5400 Bogense</t>
  </si>
  <si>
    <t>12cr</t>
  </si>
  <si>
    <t>Kornmarken 9, 5400 Bogense</t>
  </si>
  <si>
    <t>12cs</t>
  </si>
  <si>
    <t>Kornmarken 11, 5400 Bogense</t>
  </si>
  <si>
    <t>12ct</t>
  </si>
  <si>
    <t>Kornmarken 13, 5400 Bogense</t>
  </si>
  <si>
    <t>12cu</t>
  </si>
  <si>
    <t>Kløvervænget 8, 5400 Bogense</t>
  </si>
  <si>
    <t>12cv</t>
  </si>
  <si>
    <t>Kornmarken 23, 5400 Bogense</t>
  </si>
  <si>
    <t>12cx</t>
  </si>
  <si>
    <t>Kløvervænget 11, 5400 Bogense</t>
  </si>
  <si>
    <t>12cy</t>
  </si>
  <si>
    <t>Kløvervænget 9, 5400 Bogense</t>
  </si>
  <si>
    <t>12cz</t>
  </si>
  <si>
    <t>Kløvervænget 2, 5400 Bogense</t>
  </si>
  <si>
    <t>12cæ</t>
  </si>
  <si>
    <t>Kløvervænget 4, 5400 Bogense</t>
  </si>
  <si>
    <t>12cø</t>
  </si>
  <si>
    <t>Kløvervænget 6, 5400 Bogense</t>
  </si>
  <si>
    <t>12da</t>
  </si>
  <si>
    <t>Høtoften 2, 5400 Bogense</t>
  </si>
  <si>
    <t>12db</t>
  </si>
  <si>
    <t>Kløvervænget 3, 5400 Bogense</t>
  </si>
  <si>
    <t>12dc</t>
  </si>
  <si>
    <t>Kløvervænget 5, 5400 Bogense</t>
  </si>
  <si>
    <t>12dd</t>
  </si>
  <si>
    <t>Kløvervænget 7, 5400 Bogense</t>
  </si>
  <si>
    <t>12de</t>
  </si>
  <si>
    <t>Høtoften 4, 5400 Bogense</t>
  </si>
  <si>
    <t>12df</t>
  </si>
  <si>
    <t>Høtoften 6, 5400 Bogense</t>
  </si>
  <si>
    <t>12dg</t>
  </si>
  <si>
    <t>Høtoften 8, 5400 Bogense</t>
  </si>
  <si>
    <t>12dh</t>
  </si>
  <si>
    <t>Høtoften 1, 5400 Bogense</t>
  </si>
  <si>
    <t>12di</t>
  </si>
  <si>
    <t>Høtoften 3, 5400 Bogense</t>
  </si>
  <si>
    <t>12dk</t>
  </si>
  <si>
    <t>Høtoften 5, 5400 Bogense</t>
  </si>
  <si>
    <t>12dl</t>
  </si>
  <si>
    <t>Kornmarken 10A, 5400 Bogense</t>
  </si>
  <si>
    <t>Kornmarken 10B, 5400 Bogense</t>
  </si>
  <si>
    <t>Kornmarken 10C, 5400 Bogense</t>
  </si>
  <si>
    <t>Kornmarken 10D, 5400 Bogense</t>
  </si>
  <si>
    <t>Kornmarken 12A, 5400 Bogense</t>
  </si>
  <si>
    <t>Kornmarken 12B, 5400 Bogense</t>
  </si>
  <si>
    <t>Kornmarken 12C, 5400 Bogense</t>
  </si>
  <si>
    <t>Kornmarken 12D, 5400 Bogense</t>
  </si>
  <si>
    <t>Kornmarken 14A, 5400 Bogense</t>
  </si>
  <si>
    <t>Kornmarken 14B, 5400 Bogense</t>
  </si>
  <si>
    <t>Kornmarken 14C, 5400 Bogense</t>
  </si>
  <si>
    <t>Kornmarken 14D, 5400 Bogense</t>
  </si>
  <si>
    <t>Kornmarken 16A, 5400 Bogense</t>
  </si>
  <si>
    <t>Kornmarken 16B, 5400 Bogense</t>
  </si>
  <si>
    <t>Kornmarken 16C, 5400 Bogense</t>
  </si>
  <si>
    <t>Kornmarken 16D, 5400 Bogense</t>
  </si>
  <si>
    <t>Kornmarken 18A, 5400 Bogense</t>
  </si>
  <si>
    <t>Kornmarken 18B, 5400 Bogense</t>
  </si>
  <si>
    <t>Kornmarken 18C, 5400 Bogense</t>
  </si>
  <si>
    <t>Kornmarken 18D, 5400 Bogense</t>
  </si>
  <si>
    <t>Kornmarken 8A, 5400 Bogense</t>
  </si>
  <si>
    <t>Kornmarken 8B, 5400 Bogense</t>
  </si>
  <si>
    <t>Kornmarken 8C, 5400 Bogense</t>
  </si>
  <si>
    <t>Kornmarken 8D, 5400 Bogense</t>
  </si>
  <si>
    <t>12dm</t>
  </si>
  <si>
    <t>Odensevej 7, 5400 Bogense</t>
  </si>
  <si>
    <t>12dn</t>
  </si>
  <si>
    <t>Skovbrovej 9B, 5400 Bogense</t>
  </si>
  <si>
    <t>Skovbrovej 9C, 5400 Bogense</t>
  </si>
  <si>
    <t>12do</t>
  </si>
  <si>
    <t>Skovbrovej 9A, 5400 Bogense</t>
  </si>
  <si>
    <t>12dq</t>
  </si>
  <si>
    <t>Drosselvænget 7, 5400 Bogense</t>
  </si>
  <si>
    <t>12dr</t>
  </si>
  <si>
    <t>Drosselvænget 8, 5400 Bogense</t>
  </si>
  <si>
    <t>12ds</t>
  </si>
  <si>
    <t>Lærkevænget 7, 5400 Bogense</t>
  </si>
  <si>
    <t>12dt</t>
  </si>
  <si>
    <t>Lærkevænget 8, 5400 Bogense</t>
  </si>
  <si>
    <t>12du</t>
  </si>
  <si>
    <t>Løvsangervænget 7, 5400 Bogense</t>
  </si>
  <si>
    <t>12dv</t>
  </si>
  <si>
    <t>Løvsangervænget 16, 5400 Bogense</t>
  </si>
  <si>
    <t>12dx</t>
  </si>
  <si>
    <t>Løvsangervænget 14, 5400 Bogense</t>
  </si>
  <si>
    <t>12dy</t>
  </si>
  <si>
    <t>Mejsevænget 7, 5400 Bogense</t>
  </si>
  <si>
    <t>12dz</t>
  </si>
  <si>
    <t>Mejsevænget 16, 5400 Bogense</t>
  </si>
  <si>
    <t>12dæ</t>
  </si>
  <si>
    <t>Mejsevænget 14, 5400 Bogense</t>
  </si>
  <si>
    <t>12dø</t>
  </si>
  <si>
    <t>Mejsevænget 12, 5400 Bogense</t>
  </si>
  <si>
    <t>12ea</t>
  </si>
  <si>
    <t>Mejsevænget 10, 5400 Bogense</t>
  </si>
  <si>
    <t>12eb</t>
  </si>
  <si>
    <t>Mejsevænget 5, 5400 Bogense</t>
  </si>
  <si>
    <t>12ec</t>
  </si>
  <si>
    <t>Løvsangervænget 12, 5400 Bogense</t>
  </si>
  <si>
    <t>12ed</t>
  </si>
  <si>
    <t>Løvsangervænget 10, 5400 Bogense</t>
  </si>
  <si>
    <t>12ee</t>
  </si>
  <si>
    <t>Løvsangervænget 5, 5400 Bogense</t>
  </si>
  <si>
    <t>12ef</t>
  </si>
  <si>
    <t>Lærkevænget 6, 5400 Bogense</t>
  </si>
  <si>
    <t>12eg</t>
  </si>
  <si>
    <t>Lærkevænget 5, 5400 Bogense</t>
  </si>
  <si>
    <t>12eh</t>
  </si>
  <si>
    <t>Drosselvænget 6, 5400 Bogense</t>
  </si>
  <si>
    <t>12ei</t>
  </si>
  <si>
    <t>Drosselvænget 5, 5400 Bogense</t>
  </si>
  <si>
    <t>12ek</t>
  </si>
  <si>
    <t>Drosselvænget 3, 5400 Bogense</t>
  </si>
  <si>
    <t>12el</t>
  </si>
  <si>
    <t>Drosselvænget 4, 5400 Bogense</t>
  </si>
  <si>
    <t>12em</t>
  </si>
  <si>
    <t>Lærkevænget 3, 5400 Bogense</t>
  </si>
  <si>
    <t>12en</t>
  </si>
  <si>
    <t>Lærkevænget 4, 5400 Bogense</t>
  </si>
  <si>
    <t>12eo</t>
  </si>
  <si>
    <t>Løvsangervænget 3, 5400 Bogense</t>
  </si>
  <si>
    <t>12ep</t>
  </si>
  <si>
    <t>Løvsangervænget 8, 5400 Bogense</t>
  </si>
  <si>
    <t>12eq</t>
  </si>
  <si>
    <t>Løvsangervænget 6, 5400 Bogense</t>
  </si>
  <si>
    <t>12er</t>
  </si>
  <si>
    <t>Mejsevænget 3, 5400 Bogense</t>
  </si>
  <si>
    <t>12es</t>
  </si>
  <si>
    <t>Mejsevænget 8, 5400 Bogense</t>
  </si>
  <si>
    <t>12et</t>
  </si>
  <si>
    <t>Mejsevænget 6, 5400 Bogense</t>
  </si>
  <si>
    <t>12eu</t>
  </si>
  <si>
    <t>Mejsevænget 4, 5400 Bogense</t>
  </si>
  <si>
    <t>12ev</t>
  </si>
  <si>
    <t>Mejsevænget 2, 5400 Bogense</t>
  </si>
  <si>
    <t>12ex</t>
  </si>
  <si>
    <t>Mejsevænget 1, 5400 Bogense</t>
  </si>
  <si>
    <t>12ey</t>
  </si>
  <si>
    <t>Løvsangervænget 4, 5400 Bogense</t>
  </si>
  <si>
    <t>12ez</t>
  </si>
  <si>
    <t>Løvsangervænget 2, 5400 Bogense</t>
  </si>
  <si>
    <t>12eæ</t>
  </si>
  <si>
    <t>Løvsangervænget 1, 5400 Bogense</t>
  </si>
  <si>
    <t>12eø</t>
  </si>
  <si>
    <t>Lærkevænget 2, 5400 Bogense</t>
  </si>
  <si>
    <t>12fa</t>
  </si>
  <si>
    <t>Lærkevænget 1, 5400 Bogense</t>
  </si>
  <si>
    <t>12fb</t>
  </si>
  <si>
    <t>Drosselvænget 2, 5400 Bogense</t>
  </si>
  <si>
    <t>12fc</t>
  </si>
  <si>
    <t>Drosselvænget 1, 5400 Bogense</t>
  </si>
  <si>
    <t>12fd</t>
  </si>
  <si>
    <t>Kornmarken 21, 5400 Bogense</t>
  </si>
  <si>
    <t>12fe</t>
  </si>
  <si>
    <t>Kornmarken 19, 5400 Bogense</t>
  </si>
  <si>
    <t>12ff</t>
  </si>
  <si>
    <t>Kornmarken 17, 5400 Bogense</t>
  </si>
  <si>
    <t>15c</t>
  </si>
  <si>
    <t>16b</t>
  </si>
  <si>
    <t>Sct. Anna Park 10, 1., 5400 Bogense</t>
  </si>
  <si>
    <t>Sct. Anna Park 10, 2., 5400 Bogense</t>
  </si>
  <si>
    <t>Sct. Anna Park 10, st., 5400 Bogense</t>
  </si>
  <si>
    <t>Sct. Anna Park 12, 1., 5400 Bogense</t>
  </si>
  <si>
    <t>Sct. Anna Park 12, 2., 5400 Bogense</t>
  </si>
  <si>
    <t>Sct. Anna Park 12, st., 5400 Bogense</t>
  </si>
  <si>
    <t>Sct. Anna Park 14, 1., 5400 Bogense</t>
  </si>
  <si>
    <t>Sct. Anna Park 14, 2., 5400 Bogense</t>
  </si>
  <si>
    <t>Sct. Anna Park 14, st., 5400 Bogense</t>
  </si>
  <si>
    <t>Sct. Anna Park 16, 1., 5400 Bogense</t>
  </si>
  <si>
    <t>Sct. Anna Park 16, 2., 5400 Bogense</t>
  </si>
  <si>
    <t>Sct. Anna Park 16, st., 5400 Bogense</t>
  </si>
  <si>
    <t>Sct. Anna Park 18, 1., 5400 Bogense</t>
  </si>
  <si>
    <t>Sct. Anna Park 18, 2., 5400 Bogense</t>
  </si>
  <si>
    <t>Sct. Anna Park 18, st., 5400 Bogense</t>
  </si>
  <si>
    <t>Sct. Anna Park 2, 1., 5400 Bogense</t>
  </si>
  <si>
    <t>Sct. Anna Park 2, 2., 5400 Bogense</t>
  </si>
  <si>
    <t>Sct. Anna Park 2, st., 5400 Bogense</t>
  </si>
  <si>
    <t>Sct. Anna Park 20, 1., 5400 Bogense</t>
  </si>
  <si>
    <t>Sct. Anna Park 20, 2., 5400 Bogense</t>
  </si>
  <si>
    <t>Sct. Anna Park 20, st., 5400 Bogense</t>
  </si>
  <si>
    <t>Sct. Anna Park 22, 1., 5400 Bogense</t>
  </si>
  <si>
    <t>Sct. Anna Park 22, 2., 5400 Bogense</t>
  </si>
  <si>
    <t>Sct. Anna Park 22, st., 5400 Bogense</t>
  </si>
  <si>
    <t>Sct. Anna Park 24, 1., 5400 Bogense</t>
  </si>
  <si>
    <t>Sct. Anna Park 24, 2., 5400 Bogense</t>
  </si>
  <si>
    <t>Sct. Anna Park 24, st., 5400 Bogense</t>
  </si>
  <si>
    <t>Sct. Anna Park 4, 1., 5400 Bogense</t>
  </si>
  <si>
    <t>Sct. Anna Park 4, 2., 5400 Bogense</t>
  </si>
  <si>
    <t>Sct. Anna Park 4, st., 5400 Bogense</t>
  </si>
  <si>
    <t>Sct. Anna Park 6, 1., 5400 Bogense</t>
  </si>
  <si>
    <t>Sct. Anna Park 6, 2., 5400 Bogense</t>
  </si>
  <si>
    <t>Sct. Anna Park 6, st., 5400 Bogense</t>
  </si>
  <si>
    <t>Sct. Anna Park 8, 1., 5400 Bogense</t>
  </si>
  <si>
    <t>Sct. Anna Park 8, 2., 5400 Bogense</t>
  </si>
  <si>
    <t>Sct. Anna Park 8, st., 5400 Bogense</t>
  </si>
  <si>
    <t>18e</t>
  </si>
  <si>
    <t>Rolighedsvej 16, 5400 Bogense</t>
  </si>
  <si>
    <t>Rolighedsvej 16A, 1. 1, 5400 Bogense</t>
  </si>
  <si>
    <t>Rolighedsvej 16A, 1. 10, 5400 Bogense</t>
  </si>
  <si>
    <t>Rolighedsvej 16A, 1. 11, 5400 Bogense</t>
  </si>
  <si>
    <t>Rolighedsvej 16A, 1. 12, 5400 Bogense</t>
  </si>
  <si>
    <t>Rolighedsvej 16A, 1. 2, 5400 Bogense</t>
  </si>
  <si>
    <t>Rolighedsvej 16A, 1. 3, 5400 Bogense</t>
  </si>
  <si>
    <t>Rolighedsvej 16A, 1. 4, 5400 Bogense</t>
  </si>
  <si>
    <t>Rolighedsvej 16A, 1. 5, 5400 Bogense</t>
  </si>
  <si>
    <t>Rolighedsvej 16A, 1. 6, 5400 Bogense</t>
  </si>
  <si>
    <t>Rolighedsvej 16A, 1. 7, 5400 Bogense</t>
  </si>
  <si>
    <t>Rolighedsvej 16A, 1. 8, 5400 Bogense</t>
  </si>
  <si>
    <t>Rolighedsvej 16A, 1. 9, 5400 Bogense</t>
  </si>
  <si>
    <t>Rolighedsvej 16A, 2. 1, 5400 Bogense</t>
  </si>
  <si>
    <t>Rolighedsvej 16A, 2. 10, 5400 Bogense</t>
  </si>
  <si>
    <t>Rolighedsvej 16A, 2. 11, 5400 Bogense</t>
  </si>
  <si>
    <t>Rolighedsvej 16A, 2. 12, 5400 Bogense</t>
  </si>
  <si>
    <t>Rolighedsvej 16A, 2. 2, 5400 Bogense</t>
  </si>
  <si>
    <t>Rolighedsvej 16A, 2. 3, 5400 Bogense</t>
  </si>
  <si>
    <t>Rolighedsvej 16A, 2. 4, 5400 Bogense</t>
  </si>
  <si>
    <t>Rolighedsvej 16A, 2. 5, 5400 Bogense</t>
  </si>
  <si>
    <t>Rolighedsvej 16A, 2. 6, 5400 Bogense</t>
  </si>
  <si>
    <t>Rolighedsvej 16A, 2. 7, 5400 Bogense</t>
  </si>
  <si>
    <t>Rolighedsvej 16A, 2. 8, 5400 Bogense</t>
  </si>
  <si>
    <t>Rolighedsvej 16A, 2. 9, 5400 Bogense</t>
  </si>
  <si>
    <t>Rolighedsvej 16A, st. 1, 5400 Bogense</t>
  </si>
  <si>
    <t>Rolighedsvej 16A, st. 2, 5400 Bogense</t>
  </si>
  <si>
    <t>Rolighedsvej 16A, st. 3, 5400 Bogense</t>
  </si>
  <si>
    <t>Rolighedsvej 16A, st. 4, 5400 Bogense</t>
  </si>
  <si>
    <t>Rolighedsvej 16A, st. 5, 5400 Bogense</t>
  </si>
  <si>
    <t>Rolighedsvej 16A, st. 6, 5400 Bogense</t>
  </si>
  <si>
    <t>18g</t>
  </si>
  <si>
    <t>Grønnevej 5, 5400 Bogense</t>
  </si>
  <si>
    <t>18i</t>
  </si>
  <si>
    <t>Rolighedsvej 11, st. tv, 5400 Bogense</t>
  </si>
  <si>
    <t>Rolighedsvej 15, 1. th, 5400 Bogense</t>
  </si>
  <si>
    <t>Rolighedsvej 11, 1. tv, 5400 Bogense</t>
  </si>
  <si>
    <t>Rolighedsvej 11, st. th, 5400 Bogense</t>
  </si>
  <si>
    <t>Rolighedsvej 11, 1. th, 5400 Bogense</t>
  </si>
  <si>
    <t>Rolighedsvej 13, st., 5400 Bogense</t>
  </si>
  <si>
    <t>Rolighedsvej 13, 1., 5400 Bogense</t>
  </si>
  <si>
    <t>Rolighedsvej 15, st. tv, 5400 Bogense</t>
  </si>
  <si>
    <t>Rolighedsvej 15, 1. tv, 5400 Bogense</t>
  </si>
  <si>
    <t>Rolighedsvej 15, st. th, 5400 Bogense</t>
  </si>
  <si>
    <t>18k</t>
  </si>
  <si>
    <t>Rolighedsvej 9D, kl., 5400 Bogense</t>
  </si>
  <si>
    <t>Rolighedsvej 9D, st., 5400 Bogense</t>
  </si>
  <si>
    <t>Rolighedsvej 9D, 1., 5400 Bogense</t>
  </si>
  <si>
    <t>Rolighedsvej 9E, st. th, 5400 Bogense</t>
  </si>
  <si>
    <t>Rolighedsvej 9E, st. tv, 5400 Bogense</t>
  </si>
  <si>
    <t>Rolighedsvej 9E, 1. th, 5400 Bogense</t>
  </si>
  <si>
    <t>Rolighedsvej 9E, 1. tv, 5400 Bogense</t>
  </si>
  <si>
    <t>19a</t>
  </si>
  <si>
    <t>Odensevej 99, 5400 Bogense</t>
  </si>
  <si>
    <t>19e</t>
  </si>
  <si>
    <t>Odensevej 121A, 5400 Bogense</t>
  </si>
  <si>
    <t>19f</t>
  </si>
  <si>
    <t>Odensevej 103, 5400 Bogense</t>
  </si>
  <si>
    <t>19h</t>
  </si>
  <si>
    <t>Oddervænget 5, 5400 Bogense</t>
  </si>
  <si>
    <t>19m</t>
  </si>
  <si>
    <t>Odensevej 85, 5400 Bogense</t>
  </si>
  <si>
    <t>19n</t>
  </si>
  <si>
    <t>Odensevej 87, 5400 Bogense</t>
  </si>
  <si>
    <t>19o</t>
  </si>
  <si>
    <t>Oddervænget 10, 5400 Bogense</t>
  </si>
  <si>
    <t>Oddervænget 12, 5400 Bogense</t>
  </si>
  <si>
    <t>Oddervænget 14, 5400 Bogense</t>
  </si>
  <si>
    <t>Oddervænget 16, 5400 Bogense</t>
  </si>
  <si>
    <t>Oddervænget 18, 5400 Bogense</t>
  </si>
  <si>
    <t>Oddervænget 20, 5400 Bogense</t>
  </si>
  <si>
    <t>Oddervænget 22, 5400 Bogense</t>
  </si>
  <si>
    <t>Oddervænget 24, 5400 Bogense</t>
  </si>
  <si>
    <t>Oddervænget 26, 5400 Bogense</t>
  </si>
  <si>
    <t>19q</t>
  </si>
  <si>
    <t>Hjortevænget 1, 5400 Bogense</t>
  </si>
  <si>
    <t>19s</t>
  </si>
  <si>
    <t>Glentevænget 1, 5400 Bogense</t>
  </si>
  <si>
    <t>19t</t>
  </si>
  <si>
    <t>Glentevænget 3, 5400 Bogense</t>
  </si>
  <si>
    <t>19u</t>
  </si>
  <si>
    <t>Glentevænget 5, 5400 Bogense</t>
  </si>
  <si>
    <t>19v</t>
  </si>
  <si>
    <t>Glentevænget 7, 5400 Bogense</t>
  </si>
  <si>
    <t>19x</t>
  </si>
  <si>
    <t>Glentevænget 9, 5400 Bogense</t>
  </si>
  <si>
    <t>19æ</t>
  </si>
  <si>
    <t>Glentevænget 12, 5400 Bogense</t>
  </si>
  <si>
    <t>19ø</t>
  </si>
  <si>
    <t>Glentevænget 10, 5400 Bogense</t>
  </si>
  <si>
    <t>19aa</t>
  </si>
  <si>
    <t>Glentevænget 8, 5400 Bogense</t>
  </si>
  <si>
    <t>19ab</t>
  </si>
  <si>
    <t>Glentevænget 6, 5400 Bogense</t>
  </si>
  <si>
    <t>19ac</t>
  </si>
  <si>
    <t>Glentevænget 4, 5400 Bogense</t>
  </si>
  <si>
    <t>19ad</t>
  </si>
  <si>
    <t>Glentevænget 2, 5400 Bogense</t>
  </si>
  <si>
    <t>19ae</t>
  </si>
  <si>
    <t>Høgevænget 1, 5400 Bogense</t>
  </si>
  <si>
    <t>19af</t>
  </si>
  <si>
    <t>Høgevænget 3, 5400 Bogense</t>
  </si>
  <si>
    <t>19ag</t>
  </si>
  <si>
    <t>Høgevænget 5, 5400 Bogense</t>
  </si>
  <si>
    <t>19ah</t>
  </si>
  <si>
    <t>Høgevænget 7, 5400 Bogense</t>
  </si>
  <si>
    <t>19ai</t>
  </si>
  <si>
    <t>Høgevænget 9, 5400 Bogense</t>
  </si>
  <si>
    <t>19ak</t>
  </si>
  <si>
    <t>Høgevænget 11, 5400 Bogense</t>
  </si>
  <si>
    <t>19al</t>
  </si>
  <si>
    <t>Høgevænget 8, 5400 Bogense</t>
  </si>
  <si>
    <t>19am</t>
  </si>
  <si>
    <t>Høgevænget 6, 5400 Bogense</t>
  </si>
  <si>
    <t>19an</t>
  </si>
  <si>
    <t>Høgevænget 4, 5400 Bogense</t>
  </si>
  <si>
    <t>19ao</t>
  </si>
  <si>
    <t>Høgevænget 2, 5400 Bogense</t>
  </si>
  <si>
    <t>19ap</t>
  </si>
  <si>
    <t>Falkevej 9, 5400 Bogense</t>
  </si>
  <si>
    <t>19aq</t>
  </si>
  <si>
    <t>Falkevej 11, 5400 Bogense</t>
  </si>
  <si>
    <t>19ar</t>
  </si>
  <si>
    <t>Falkevej 13, 5400 Bogense</t>
  </si>
  <si>
    <t>19as</t>
  </si>
  <si>
    <t>Fuglebakken 26, 5400 Bogense</t>
  </si>
  <si>
    <t>19at</t>
  </si>
  <si>
    <t>Glentevænget 11, 5400 Bogense</t>
  </si>
  <si>
    <t>19au</t>
  </si>
  <si>
    <t>Glentevænget 13, 5400 Bogense</t>
  </si>
  <si>
    <t>19av</t>
  </si>
  <si>
    <t>Glentevænget 15, 5400 Bogense</t>
  </si>
  <si>
    <t>19ax</t>
  </si>
  <si>
    <t>Glentevænget 17, 5400 Bogense</t>
  </si>
  <si>
    <t>19ay</t>
  </si>
  <si>
    <t>Glentevænget 19, 5400 Bogense</t>
  </si>
  <si>
    <t>19az</t>
  </si>
  <si>
    <t>Glentevænget 21, 5400 Bogense</t>
  </si>
  <si>
    <t>19aæ</t>
  </si>
  <si>
    <t>Fuglebakken 28, 5400 Bogense</t>
  </si>
  <si>
    <t>19aø</t>
  </si>
  <si>
    <t>Fuglebakken 30, 5400 Bogense</t>
  </si>
  <si>
    <t>19ba</t>
  </si>
  <si>
    <t>Fuglebakken 32, 5400 Bogense</t>
  </si>
  <si>
    <t>19bb</t>
  </si>
  <si>
    <t>Fuglebakken 34, 5400 Bogense</t>
  </si>
  <si>
    <t>19bc</t>
  </si>
  <si>
    <t>Fuglebakken 36, 5400 Bogense</t>
  </si>
  <si>
    <t>19bd</t>
  </si>
  <si>
    <t>Fuglebakken 38, 5400 Bogense</t>
  </si>
  <si>
    <t>19be</t>
  </si>
  <si>
    <t>Fuglebakken 40, 5400 Bogense</t>
  </si>
  <si>
    <t>19bf</t>
  </si>
  <si>
    <t>Fuglebakken 42, 5400 Bogense</t>
  </si>
  <si>
    <t>19bg</t>
  </si>
  <si>
    <t>Fuglebakken 44, 5400 Bogense</t>
  </si>
  <si>
    <t>19bh</t>
  </si>
  <si>
    <t>Fuglebakken 46, 5400 Bogense</t>
  </si>
  <si>
    <t>19bi</t>
  </si>
  <si>
    <t>Fuglebakken 48, 5400 Bogense</t>
  </si>
  <si>
    <t>19bk</t>
  </si>
  <si>
    <t>Hjortevænget 12, 5400 Bogense</t>
  </si>
  <si>
    <t>19bl</t>
  </si>
  <si>
    <t>Dådyrvænget 11, 5400 Bogense</t>
  </si>
  <si>
    <t>19bm</t>
  </si>
  <si>
    <t>Dådyrvænget 12, 5400 Bogense</t>
  </si>
  <si>
    <t>19bn</t>
  </si>
  <si>
    <t>Hermelinvænget 9, 5400 Bogense</t>
  </si>
  <si>
    <t>19bo</t>
  </si>
  <si>
    <t>Hermelinvænget 7, 5400 Bogense</t>
  </si>
  <si>
    <t>19bp</t>
  </si>
  <si>
    <t>Hermelinvænget 5, 5400 Bogense</t>
  </si>
  <si>
    <t>19bq</t>
  </si>
  <si>
    <t>Hermelinvænget 3, 5400 Bogense</t>
  </si>
  <si>
    <t>19br</t>
  </si>
  <si>
    <t>Hermelinvænget 1, 5400 Bogense</t>
  </si>
  <si>
    <t>19bs</t>
  </si>
  <si>
    <t>Dådyrvænget 2, 5400 Bogense</t>
  </si>
  <si>
    <t>19bt</t>
  </si>
  <si>
    <t>Dådyrvænget 4, 5400 Bogense</t>
  </si>
  <si>
    <t>19bu</t>
  </si>
  <si>
    <t>Dådyrvænget 6, 5400 Bogense</t>
  </si>
  <si>
    <t>19bv</t>
  </si>
  <si>
    <t>Dådyrvænget 8, 5400 Bogense</t>
  </si>
  <si>
    <t>19bx</t>
  </si>
  <si>
    <t>Dådyrvænget 10, 5400 Bogense</t>
  </si>
  <si>
    <t>19by</t>
  </si>
  <si>
    <t>Dådyrvænget 9, 5400 Bogense</t>
  </si>
  <si>
    <t>19bz</t>
  </si>
  <si>
    <t>Dådyrvænget 7, 5400 Bogense</t>
  </si>
  <si>
    <t>19bæ</t>
  </si>
  <si>
    <t>Dådyrvænget 5, 5400 Bogense</t>
  </si>
  <si>
    <t>19bø</t>
  </si>
  <si>
    <t>Dådyrvænget 3, 5400 Bogense</t>
  </si>
  <si>
    <t>19ca</t>
  </si>
  <si>
    <t>Dådyrvænget 1, 5400 Bogense</t>
  </si>
  <si>
    <t>19cb</t>
  </si>
  <si>
    <t>Hjortevænget 2, 5400 Bogense</t>
  </si>
  <si>
    <t>19cc</t>
  </si>
  <si>
    <t>Hjortevænget 4, 5400 Bogense</t>
  </si>
  <si>
    <t>19cd</t>
  </si>
  <si>
    <t>Hjortevænget 6, 5400 Bogense</t>
  </si>
  <si>
    <t>19ce</t>
  </si>
  <si>
    <t>Hjortevænget 8, 5400 Bogense</t>
  </si>
  <si>
    <t>19cf</t>
  </si>
  <si>
    <t>Hjortevænget 10, 5400 Bogense</t>
  </si>
  <si>
    <t>19cg</t>
  </si>
  <si>
    <t>Dyrehaven 6, 5400 Bogense</t>
  </si>
  <si>
    <t>19ch</t>
  </si>
  <si>
    <t>Dyrehaven 8, 5400 Bogense</t>
  </si>
  <si>
    <t>19ci</t>
  </si>
  <si>
    <t>Dyrehaven 10, 5400 Bogense</t>
  </si>
  <si>
    <t>19ck</t>
  </si>
  <si>
    <t>Dyrehaven 12, 5400 Bogense</t>
  </si>
  <si>
    <t>19cl</t>
  </si>
  <si>
    <t>Dyrehaven 14, 5400 Bogense</t>
  </si>
  <si>
    <t>19cm</t>
  </si>
  <si>
    <t>Dyrehaven 16, 5400 Bogense</t>
  </si>
  <si>
    <t>19cn</t>
  </si>
  <si>
    <t>Dyrehaven 18, 5400 Bogense</t>
  </si>
  <si>
    <t>19co</t>
  </si>
  <si>
    <t>Dyrehaven 20, 5400 Bogense</t>
  </si>
  <si>
    <t>19cp</t>
  </si>
  <si>
    <t>Dyrehaven 22, 5400 Bogense</t>
  </si>
  <si>
    <t>19cq</t>
  </si>
  <si>
    <t>Dyrehaven 24, 5400 Bogense</t>
  </si>
  <si>
    <t>19cr</t>
  </si>
  <si>
    <t>Mårvænget 2, 5400 Bogense</t>
  </si>
  <si>
    <t>19cs</t>
  </si>
  <si>
    <t>Mårvænget 4, 5400 Bogense</t>
  </si>
  <si>
    <t>19ct</t>
  </si>
  <si>
    <t>Mårvænget 6, 5400 Bogense</t>
  </si>
  <si>
    <t>19cu</t>
  </si>
  <si>
    <t>Mårvænget 5, 5400 Bogense</t>
  </si>
  <si>
    <t>19cv</t>
  </si>
  <si>
    <t>Mårvænget 3, 5400 Bogense</t>
  </si>
  <si>
    <t>19cx</t>
  </si>
  <si>
    <t>Mårvænget 1, 5400 Bogense</t>
  </si>
  <si>
    <t>19cy</t>
  </si>
  <si>
    <t>Hermelinvænget 2, 5400 Bogense</t>
  </si>
  <si>
    <t>19cz</t>
  </si>
  <si>
    <t>Hermelinvænget 4, 5400 Bogense</t>
  </si>
  <si>
    <t>19cæ</t>
  </si>
  <si>
    <t>Hermelinvænget 6, 5400 Bogense</t>
  </si>
  <si>
    <t>19cø</t>
  </si>
  <si>
    <t>Hermelinvænget 8, 5400 Bogense</t>
  </si>
  <si>
    <t>19da</t>
  </si>
  <si>
    <t>Falkevej 12, 5400 Bogense</t>
  </si>
  <si>
    <t>19db</t>
  </si>
  <si>
    <t>Oddervænget 2, 5400 Bogense</t>
  </si>
  <si>
    <t>19dc</t>
  </si>
  <si>
    <t>Dyrehaven 2, 5400 Bogense</t>
  </si>
  <si>
    <t>22c</t>
  </si>
  <si>
    <t>23</t>
  </si>
  <si>
    <t>Gyldensteensvej 79, 5400 Bogense</t>
  </si>
  <si>
    <t>24k</t>
  </si>
  <si>
    <t>Hasselvej 2, 5400 Bogense</t>
  </si>
  <si>
    <t>24l</t>
  </si>
  <si>
    <t>Hasselvej 4, 5400 Bogense</t>
  </si>
  <si>
    <t>24m</t>
  </si>
  <si>
    <t>Hasselvej 6, 5400 Bogense</t>
  </si>
  <si>
    <t>24n</t>
  </si>
  <si>
    <t>Hasselvej 8, 5400 Bogense</t>
  </si>
  <si>
    <t>24o</t>
  </si>
  <si>
    <t>Hasselvej 10, 5400 Bogense</t>
  </si>
  <si>
    <t>24p</t>
  </si>
  <si>
    <t>Hasselvej 12, 5400 Bogense</t>
  </si>
  <si>
    <t>24q</t>
  </si>
  <si>
    <t>Hasselvej 14, 5400 Bogense</t>
  </si>
  <si>
    <t>24r</t>
  </si>
  <si>
    <t>Hasselvej 13, 5400 Bogense</t>
  </si>
  <si>
    <t>24s</t>
  </si>
  <si>
    <t>Hasselvej 11, 5400 Bogense</t>
  </si>
  <si>
    <t>24t</t>
  </si>
  <si>
    <t>Hasselvej 9, 5400 Bogense</t>
  </si>
  <si>
    <t>24u</t>
  </si>
  <si>
    <t>Hasselvej 7, 5400 Bogense</t>
  </si>
  <si>
    <t>24v</t>
  </si>
  <si>
    <t>Hasselvej 5, 5400 Bogense</t>
  </si>
  <si>
    <t>24x</t>
  </si>
  <si>
    <t>Hasselvej 3, 5400 Bogense</t>
  </si>
  <si>
    <t>24y</t>
  </si>
  <si>
    <t>Hasselvej 1, 5400 Bogense</t>
  </si>
  <si>
    <t>24z</t>
  </si>
  <si>
    <t>Kastanievej 2, 5400 Bogense</t>
  </si>
  <si>
    <t>24æ</t>
  </si>
  <si>
    <t>Kastanievej 4, 5400 Bogense</t>
  </si>
  <si>
    <t>24ø</t>
  </si>
  <si>
    <t>Kastanievej 6, 5400 Bogense</t>
  </si>
  <si>
    <t>24aa</t>
  </si>
  <si>
    <t>Kastanievej 8, 5400 Bogense</t>
  </si>
  <si>
    <t>24ab</t>
  </si>
  <si>
    <t>Kastanievej 10, 5400 Bogense</t>
  </si>
  <si>
    <t>24ac</t>
  </si>
  <si>
    <t>Kastanievej 12, 5400 Bogense</t>
  </si>
  <si>
    <t>24ad</t>
  </si>
  <si>
    <t>Kastanievej 14, 5400 Bogense</t>
  </si>
  <si>
    <t>24ae</t>
  </si>
  <si>
    <t>Kastanievej 9, 5400 Bogense</t>
  </si>
  <si>
    <t>24af</t>
  </si>
  <si>
    <t>Kastanievej 7, 5400 Bogense</t>
  </si>
  <si>
    <t>24ah</t>
  </si>
  <si>
    <t>Kastanievej 5, 5400 Bogense</t>
  </si>
  <si>
    <t>24ai</t>
  </si>
  <si>
    <t>Kastanievej 3, 5400 Bogense</t>
  </si>
  <si>
    <t>24ak</t>
  </si>
  <si>
    <t>Kastanievej 1, 5400 Bogense</t>
  </si>
  <si>
    <t>24am</t>
  </si>
  <si>
    <t>Kastanievej 11, 5400 Bogense</t>
  </si>
  <si>
    <t>24ao</t>
  </si>
  <si>
    <t>Ahornvej 72B, 5400 Bogense</t>
  </si>
  <si>
    <t>24aq</t>
  </si>
  <si>
    <t>Ahornvej 15, 5400 Bogense</t>
  </si>
  <si>
    <t>24ar</t>
  </si>
  <si>
    <t>Ahornvej 13, 5400 Bogense</t>
  </si>
  <si>
    <t>24as</t>
  </si>
  <si>
    <t>Hasselvej 16, 5400 Bogense</t>
  </si>
  <si>
    <t>24at</t>
  </si>
  <si>
    <t>Hasselvej 18, 5400 Bogense</t>
  </si>
  <si>
    <t>24au</t>
  </si>
  <si>
    <t>Hasselvej 17, 5400 Bogense</t>
  </si>
  <si>
    <t>24av</t>
  </si>
  <si>
    <t>Hasselvej 15, 5400 Bogense</t>
  </si>
  <si>
    <t>24ax</t>
  </si>
  <si>
    <t>Kastanievej 16, 5400 Bogense</t>
  </si>
  <si>
    <t>24ay</t>
  </si>
  <si>
    <t>Kastanievej 18, 5400 Bogense</t>
  </si>
  <si>
    <t>24az</t>
  </si>
  <si>
    <t>Kastanievej 13, 5400 Bogense</t>
  </si>
  <si>
    <t>24aæ</t>
  </si>
  <si>
    <t>Hyldevænget 1, 5400 Bogense</t>
  </si>
  <si>
    <t>24aø</t>
  </si>
  <si>
    <t>Hyldevænget 3, 5400 Bogense</t>
  </si>
  <si>
    <t>24ba</t>
  </si>
  <si>
    <t>Hyldevænget 5, 5400 Bogense</t>
  </si>
  <si>
    <t>24bb</t>
  </si>
  <si>
    <t>Hyldevænget 6, 5400 Bogense</t>
  </si>
  <si>
    <t>24bc</t>
  </si>
  <si>
    <t>Hyldevænget 4, 5400 Bogense</t>
  </si>
  <si>
    <t>24bd</t>
  </si>
  <si>
    <t>Hyldevænget 2, 5400 Bogense</t>
  </si>
  <si>
    <t>24be</t>
  </si>
  <si>
    <t>Ahornvej 35, 5400 Bogense</t>
  </si>
  <si>
    <t>24bf</t>
  </si>
  <si>
    <t>Ahornvej 37, 5400 Bogense</t>
  </si>
  <si>
    <t>24bg</t>
  </si>
  <si>
    <t>Ahornvej 39, 5400 Bogense</t>
  </si>
  <si>
    <t>24bh</t>
  </si>
  <si>
    <t>Ahornvej 25, 5400 Bogense</t>
  </si>
  <si>
    <t>24bi</t>
  </si>
  <si>
    <t>Ahornvej 27, 5400 Bogense</t>
  </si>
  <si>
    <t>24bk</t>
  </si>
  <si>
    <t>Ahornvej 29, 5400 Bogense</t>
  </si>
  <si>
    <t>24bl</t>
  </si>
  <si>
    <t>Ahornvej 31, 5400 Bogense</t>
  </si>
  <si>
    <t>24bm</t>
  </si>
  <si>
    <t>Ahornvej 33, 5400 Bogense</t>
  </si>
  <si>
    <t>24bn</t>
  </si>
  <si>
    <t>Valnøddevej 25, 5400 Bogense</t>
  </si>
  <si>
    <t>24bo</t>
  </si>
  <si>
    <t>Valnøddevej 27, 5400 Bogense</t>
  </si>
  <si>
    <t>24bp</t>
  </si>
  <si>
    <t>Valnøddevej 29, 5400 Bogense</t>
  </si>
  <si>
    <t>24bq</t>
  </si>
  <si>
    <t>Valnøddevej 31, 5400 Bogense</t>
  </si>
  <si>
    <t>24br</t>
  </si>
  <si>
    <t>Valnøddevej 23, 5400 Bogense</t>
  </si>
  <si>
    <t>24bs</t>
  </si>
  <si>
    <t>Valnøddevej 21, 5400 Bogense</t>
  </si>
  <si>
    <t>24bt</t>
  </si>
  <si>
    <t>Valnøddevej 19, 5400 Bogense</t>
  </si>
  <si>
    <t>24bu</t>
  </si>
  <si>
    <t>Valnøddevej 17, 5400 Bogense</t>
  </si>
  <si>
    <t>24bv</t>
  </si>
  <si>
    <t>Valnøddevej 15, 5400 Bogense</t>
  </si>
  <si>
    <t>24bx</t>
  </si>
  <si>
    <t>Valnøddevej 13, 5400 Bogense</t>
  </si>
  <si>
    <t>24by</t>
  </si>
  <si>
    <t>Valnøddevej 11, 5400 Bogense</t>
  </si>
  <si>
    <t>24bz</t>
  </si>
  <si>
    <t>Valnøddevej 9, 5400 Bogense</t>
  </si>
  <si>
    <t>24bæ</t>
  </si>
  <si>
    <t>Valnøddevej 7, 5400 Bogense</t>
  </si>
  <si>
    <t>24bø</t>
  </si>
  <si>
    <t>Gyvelvænget 4, 5400 Bogense</t>
  </si>
  <si>
    <t>24ca</t>
  </si>
  <si>
    <t>Gyvelvænget 6, 5400 Bogense</t>
  </si>
  <si>
    <t>24cb</t>
  </si>
  <si>
    <t>Gyvelvænget 8, 5400 Bogense</t>
  </si>
  <si>
    <t>24cc</t>
  </si>
  <si>
    <t>Gyvelvænget 10, 5400 Bogense</t>
  </si>
  <si>
    <t>24cd</t>
  </si>
  <si>
    <t>Ahornvej 46, 5400 Bogense</t>
  </si>
  <si>
    <t>24ce</t>
  </si>
  <si>
    <t>Ahornvej 48, 5400 Bogense</t>
  </si>
  <si>
    <t>24cf</t>
  </si>
  <si>
    <t>Ahornvej 50, 5400 Bogense</t>
  </si>
  <si>
    <t>24cg</t>
  </si>
  <si>
    <t>Ahornvej 52, 5400 Bogense</t>
  </si>
  <si>
    <t>24ch</t>
  </si>
  <si>
    <t>Ahornvej 54, 5400 Bogense</t>
  </si>
  <si>
    <t>24ci</t>
  </si>
  <si>
    <t>Ahornvej 36, 5400 Bogense</t>
  </si>
  <si>
    <t>24ck</t>
  </si>
  <si>
    <t>Ahornvej 38, 5400 Bogense</t>
  </si>
  <si>
    <t>24cl</t>
  </si>
  <si>
    <t>Ahornvej 40, 5400 Bogense</t>
  </si>
  <si>
    <t>24cm</t>
  </si>
  <si>
    <t>Ahornvej 42, 5400 Bogense</t>
  </si>
  <si>
    <t>24cn</t>
  </si>
  <si>
    <t>Ahornvej 44, 5400 Bogense</t>
  </si>
  <si>
    <t>24co</t>
  </si>
  <si>
    <t>Ahornvej 56, 5400 Bogense</t>
  </si>
  <si>
    <t>24cp</t>
  </si>
  <si>
    <t>Ahornvej 58, 5400 Bogense</t>
  </si>
  <si>
    <t>24cq</t>
  </si>
  <si>
    <t>Ahornvej 60, 5400 Bogense</t>
  </si>
  <si>
    <t>24cr</t>
  </si>
  <si>
    <t>Ahornvej 62, 5400 Bogense</t>
  </si>
  <si>
    <t>24cs</t>
  </si>
  <si>
    <t>Ahornvej 64, 5400 Bogense</t>
  </si>
  <si>
    <t>24ct</t>
  </si>
  <si>
    <t>Ahornvej 66, 5400 Bogense</t>
  </si>
  <si>
    <t>24cu</t>
  </si>
  <si>
    <t>Ahornvej 68, 5400 Bogense</t>
  </si>
  <si>
    <t>24cv</t>
  </si>
  <si>
    <t>Ahornvej 70, 5400 Bogense</t>
  </si>
  <si>
    <t>Stegøvej 29A, Østerø, 5400 Bogense</t>
  </si>
  <si>
    <t>Stegøvej 29, Østerø, 5400 Bogense</t>
  </si>
  <si>
    <t>27e</t>
  </si>
  <si>
    <t>Stegøvej 27, 5400 Bogense</t>
  </si>
  <si>
    <t>28e</t>
  </si>
  <si>
    <t>Birkevej 6, 5400 Bogense</t>
  </si>
  <si>
    <t>28f</t>
  </si>
  <si>
    <t>Elmevej 5, 5400 Bogense</t>
  </si>
  <si>
    <t>28g</t>
  </si>
  <si>
    <t>Bøgevej 21, 5400 Bogense</t>
  </si>
  <si>
    <t>28h</t>
  </si>
  <si>
    <t>Bøgevej 23, 5400 Bogense</t>
  </si>
  <si>
    <t>28i</t>
  </si>
  <si>
    <t>Bøgevej 20, 5400 Bogense</t>
  </si>
  <si>
    <t>28k</t>
  </si>
  <si>
    <t>Violvej 3, 5400 Bogense</t>
  </si>
  <si>
    <t>28l</t>
  </si>
  <si>
    <t>Violvej 1, 5400 Bogense</t>
  </si>
  <si>
    <t>28m</t>
  </si>
  <si>
    <t>Bøgevej 22, 5400 Bogense</t>
  </si>
  <si>
    <t>28n</t>
  </si>
  <si>
    <t>Bøgevej 24, 5400 Bogense</t>
  </si>
  <si>
    <t>28o</t>
  </si>
  <si>
    <t>Bøgevej 26, 5400 Bogense</t>
  </si>
  <si>
    <t>28p</t>
  </si>
  <si>
    <t>Bøgevej 28, 5400 Bogense</t>
  </si>
  <si>
    <t>28q</t>
  </si>
  <si>
    <t>Valmuevej 2, 5400 Bogense</t>
  </si>
  <si>
    <t>28r</t>
  </si>
  <si>
    <t>Valmuevej 4, 5400 Bogense</t>
  </si>
  <si>
    <t>28s</t>
  </si>
  <si>
    <t>Valmuevej 6, 5400 Bogense</t>
  </si>
  <si>
    <t>28t</t>
  </si>
  <si>
    <t>Valmuevej 9, 5400 Bogense</t>
  </si>
  <si>
    <t>28u</t>
  </si>
  <si>
    <t>Valmuevej 7, 5400 Bogense</t>
  </si>
  <si>
    <t>28v</t>
  </si>
  <si>
    <t>Valmuevej 5, 5400 Bogense</t>
  </si>
  <si>
    <t>28x</t>
  </si>
  <si>
    <t>Valmuevej 3, 5400 Bogense</t>
  </si>
  <si>
    <t>28y</t>
  </si>
  <si>
    <t>Valmuevej 1, 5400 Bogense</t>
  </si>
  <si>
    <t>28z</t>
  </si>
  <si>
    <t>Tjørnevej 2, 5400 Bogense</t>
  </si>
  <si>
    <t>28æ</t>
  </si>
  <si>
    <t>Tjørnevej 4, 5400 Bogense</t>
  </si>
  <si>
    <t>28ø</t>
  </si>
  <si>
    <t>Tjørnevej 6, 5400 Bogense</t>
  </si>
  <si>
    <t>28aa</t>
  </si>
  <si>
    <t>Tjørnevej 8, 5400 Bogense</t>
  </si>
  <si>
    <t>28ab</t>
  </si>
  <si>
    <t>Tjørnevej 10, 5400 Bogense</t>
  </si>
  <si>
    <t>28ac</t>
  </si>
  <si>
    <t>Engkarsevej 2, 5400 Bogense</t>
  </si>
  <si>
    <t>28ad</t>
  </si>
  <si>
    <t>Engkarsevej 4, 5400 Bogense</t>
  </si>
  <si>
    <t>28ae</t>
  </si>
  <si>
    <t>Engkarsevej 6, 5400 Bogense</t>
  </si>
  <si>
    <t>28af</t>
  </si>
  <si>
    <t>Engkarsevej 8, 5400 Bogense</t>
  </si>
  <si>
    <t>28ag</t>
  </si>
  <si>
    <t>Engkarsevej 10, 5400 Bogense</t>
  </si>
  <si>
    <t>28ah</t>
  </si>
  <si>
    <t>Tjørnevej 5, 5400 Bogense</t>
  </si>
  <si>
    <t>28ai</t>
  </si>
  <si>
    <t>Tjørnevej 3, 5400 Bogense</t>
  </si>
  <si>
    <t>28ak</t>
  </si>
  <si>
    <t>Tjørnevej 1, 5400 Bogense</t>
  </si>
  <si>
    <t>28al</t>
  </si>
  <si>
    <t>Platanvej 2, 5400 Bogense</t>
  </si>
  <si>
    <t>28am</t>
  </si>
  <si>
    <t>Platanvej 4, 5400 Bogense</t>
  </si>
  <si>
    <t>28an</t>
  </si>
  <si>
    <t>Engkarsevej 1, 5400 Bogense</t>
  </si>
  <si>
    <t>Engkarsevej 11, 5400 Bogense</t>
  </si>
  <si>
    <t>Engkarsevej 13, 5400 Bogense</t>
  </si>
  <si>
    <t>Engkarsevej 15, 5400 Bogense</t>
  </si>
  <si>
    <t>Engkarsevej 17, 5400 Bogense</t>
  </si>
  <si>
    <t>Engkarsevej 19, 5400 Bogense</t>
  </si>
  <si>
    <t>Engkarsevej 21, 5400 Bogense</t>
  </si>
  <si>
    <t>Engkarsevej 23, 5400 Bogense</t>
  </si>
  <si>
    <t>Engkarsevej 3, 5400 Bogense</t>
  </si>
  <si>
    <t>Engkarsevej 5, 5400 Bogense</t>
  </si>
  <si>
    <t>Engkarsevej 7, 5400 Bogense</t>
  </si>
  <si>
    <t>Engkarsevej 9, 5400 Bogense</t>
  </si>
  <si>
    <t>28ao</t>
  </si>
  <si>
    <t>Bøgevej 25, 5400 Bogense</t>
  </si>
  <si>
    <t>Birkevej 10, 5400 Bogense</t>
  </si>
  <si>
    <t>Birkevej 12, 5400 Bogense</t>
  </si>
  <si>
    <t>Birkevej 14, 5400 Bogense</t>
  </si>
  <si>
    <t>Birkevej 16, 5400 Bogense</t>
  </si>
  <si>
    <t>Birkevej 8, 5400 Bogense</t>
  </si>
  <si>
    <t>Bøgevej 27, 5400 Bogense</t>
  </si>
  <si>
    <t>Bøgevej 29, 5400 Bogense</t>
  </si>
  <si>
    <t>Bøgevej 31, 5400 Bogense</t>
  </si>
  <si>
    <t>Bøgevej 33, 5400 Bogense</t>
  </si>
  <si>
    <t>Platanvej 1, 5400 Bogense</t>
  </si>
  <si>
    <t>Platanvej 11, 5400 Bogense</t>
  </si>
  <si>
    <t>Platanvej 13, 5400 Bogense</t>
  </si>
  <si>
    <t>Platanvej 15, 5400 Bogense</t>
  </si>
  <si>
    <t>Platanvej 17, 5400 Bogense</t>
  </si>
  <si>
    <t>Platanvej 3, 5400 Bogense</t>
  </si>
  <si>
    <t>Platanvej 5, 5400 Bogense</t>
  </si>
  <si>
    <t>Platanvej 7, 5400 Bogense</t>
  </si>
  <si>
    <t>Platanvej 9, 5400 Bogense</t>
  </si>
  <si>
    <t>28aq</t>
  </si>
  <si>
    <t>Skovvej 73, 5400 Bogense</t>
  </si>
  <si>
    <t>Huggetvej 22, 5400 Bogense</t>
  </si>
  <si>
    <t>Huggetvej 20, 5400 Bogense</t>
  </si>
  <si>
    <t>29e</t>
  </si>
  <si>
    <t>Svelvikparken 37, 5400 Bogense</t>
  </si>
  <si>
    <t>29f</t>
  </si>
  <si>
    <t>Svelvikparken 6, 5400 Bogense</t>
  </si>
  <si>
    <t>29h</t>
  </si>
  <si>
    <t>Svelvikparken 1, 5400 Bogense</t>
  </si>
  <si>
    <t>29i</t>
  </si>
  <si>
    <t>Svelvikparken 3, 5400 Bogense</t>
  </si>
  <si>
    <t>29k</t>
  </si>
  <si>
    <t>Svelvikparken 5, 5400 Bogense</t>
  </si>
  <si>
    <t>29l</t>
  </si>
  <si>
    <t>Svelvikparken 7, 5400 Bogense</t>
  </si>
  <si>
    <t>29m</t>
  </si>
  <si>
    <t>Svelvikparken 9, 5400 Bogense</t>
  </si>
  <si>
    <t>29o</t>
  </si>
  <si>
    <t>Svelvikparken 29, 5400 Bogense</t>
  </si>
  <si>
    <t>29p</t>
  </si>
  <si>
    <t>Svelvikparken 31, 5400 Bogense</t>
  </si>
  <si>
    <t>29q</t>
  </si>
  <si>
    <t>Svelvikparken 33, 5400 Bogense</t>
  </si>
  <si>
    <t>29r</t>
  </si>
  <si>
    <t>Svelvikparken 35, 5400 Bogense</t>
  </si>
  <si>
    <t>29s</t>
  </si>
  <si>
    <t>Oslovej 2, 5400 Bogense</t>
  </si>
  <si>
    <t>Oslovej 10, 5400 Bogense</t>
  </si>
  <si>
    <t>Oslovej 12, 5400 Bogense</t>
  </si>
  <si>
    <t>Oslovej 14, 5400 Bogense</t>
  </si>
  <si>
    <t>Oslovej 16, 5400 Bogense</t>
  </si>
  <si>
    <t>Oslovej 18, 5400 Bogense</t>
  </si>
  <si>
    <t>Oslovej 20, 5400 Bogense</t>
  </si>
  <si>
    <t>Oslovej 22, 5400 Bogense</t>
  </si>
  <si>
    <t>Oslovej 4, 5400 Bogense</t>
  </si>
  <si>
    <t>Oslovej 6, 5400 Bogense</t>
  </si>
  <si>
    <t>Oslovej 8, 5400 Bogense</t>
  </si>
  <si>
    <t>29t</t>
  </si>
  <si>
    <t>Larvikparken 26, 5400 Bogense</t>
  </si>
  <si>
    <t>29u</t>
  </si>
  <si>
    <t>Larvikparken 24, 5400 Bogense</t>
  </si>
  <si>
    <t>29v</t>
  </si>
  <si>
    <t>Larvikparken 7, 5400 Bogense</t>
  </si>
  <si>
    <t>29x</t>
  </si>
  <si>
    <t>Larvikparken 5, 5400 Bogense</t>
  </si>
  <si>
    <t>29y</t>
  </si>
  <si>
    <t>Larvikparken 1, 5400 Bogense</t>
  </si>
  <si>
    <t>29z</t>
  </si>
  <si>
    <t>Larvikparken 3, 5400 Bogense</t>
  </si>
  <si>
    <t>29æ</t>
  </si>
  <si>
    <t>Larvikparken 22, 5400 Bogense</t>
  </si>
  <si>
    <t>29ø</t>
  </si>
  <si>
    <t>Larvikparken 20, 5400 Bogense</t>
  </si>
  <si>
    <t>29aa</t>
  </si>
  <si>
    <t>Larvikparken 18, 5400 Bogense</t>
  </si>
  <si>
    <t>29ab</t>
  </si>
  <si>
    <t>Larvikparken 10A, 5400 Bogense</t>
  </si>
  <si>
    <t>Larvikparken 10B, 5400 Bogense</t>
  </si>
  <si>
    <t>Larvikparken 10C, 5400 Bogense</t>
  </si>
  <si>
    <t>Larvikparken 12A, 5400 Bogense</t>
  </si>
  <si>
    <t>Larvikparken 12B, 5400 Bogense</t>
  </si>
  <si>
    <t>Larvikparken 14A, 5400 Bogense</t>
  </si>
  <si>
    <t>Larvikparken 14B, 5400 Bogense</t>
  </si>
  <si>
    <t>29ac</t>
  </si>
  <si>
    <t>Larvikparken 2A, 5400 Bogense</t>
  </si>
  <si>
    <t>Larvikparken 2B, 5400 Bogense</t>
  </si>
  <si>
    <t>Larvikparken 4A, 5400 Bogense</t>
  </si>
  <si>
    <t>Larvikparken 4B, 5400 Bogense</t>
  </si>
  <si>
    <t>Larvikparken 4C, 5400 Bogense</t>
  </si>
  <si>
    <t>Larvikparken 6A, 5400 Bogense</t>
  </si>
  <si>
    <t>Larvikparken 6B, 5400 Bogense</t>
  </si>
  <si>
    <t>Larvikparken 8, 5400 Bogense</t>
  </si>
  <si>
    <t>29ad</t>
  </si>
  <si>
    <t>Svelvikparken 39, 5400 Bogense</t>
  </si>
  <si>
    <t>29ae</t>
  </si>
  <si>
    <t>Svelvikparken 41, 5400 Bogense</t>
  </si>
  <si>
    <t>29af</t>
  </si>
  <si>
    <t>Svelvikparken 43, 5400 Bogense</t>
  </si>
  <si>
    <t>29ah</t>
  </si>
  <si>
    <t>Svelvikparken 65A, 5400 Bogense</t>
  </si>
  <si>
    <t>Svelvikparken 65B, 5400 Bogense</t>
  </si>
  <si>
    <t>Svelvikparken 65C, 5400 Bogense</t>
  </si>
  <si>
    <t>Svelvikparken 67A, 5400 Bogense</t>
  </si>
  <si>
    <t>Svelvikparken 67B, 5400 Bogense</t>
  </si>
  <si>
    <t>Svelvikparken 67C, 5400 Bogense</t>
  </si>
  <si>
    <t>Svelvikparken 67D, 5400 Bogense</t>
  </si>
  <si>
    <t>Svelvikparken 69A, 5400 Bogense</t>
  </si>
  <si>
    <t>Svelvikparken 69B, 5400 Bogense</t>
  </si>
  <si>
    <t>Svelvikparken 69C, 5400 Bogense</t>
  </si>
  <si>
    <t>29ai</t>
  </si>
  <si>
    <t>Svelvikparken 71, 5400 Bogense</t>
  </si>
  <si>
    <t>29ak</t>
  </si>
  <si>
    <t>Svelvikparken 73, 5400 Bogense</t>
  </si>
  <si>
    <t>29al</t>
  </si>
  <si>
    <t>Svelvikparken 75, 5400 Bogense</t>
  </si>
  <si>
    <t>29am</t>
  </si>
  <si>
    <t>Svelvikparken 77, 5400 Bogense</t>
  </si>
  <si>
    <t>29an</t>
  </si>
  <si>
    <t>Svelvikparken 79, 5400 Bogense</t>
  </si>
  <si>
    <t>29ao</t>
  </si>
  <si>
    <t>Svelvikparken 81, 5400 Bogense</t>
  </si>
  <si>
    <t>29ap</t>
  </si>
  <si>
    <t>Svelvikparken 83, 5400 Bogense</t>
  </si>
  <si>
    <t>29aq</t>
  </si>
  <si>
    <t>Svelvikparken 85, 5400 Bogense</t>
  </si>
  <si>
    <t>29ar</t>
  </si>
  <si>
    <t>Oslovej 24, 5400 Bogense</t>
  </si>
  <si>
    <t>Oslovej 26, 5400 Bogense</t>
  </si>
  <si>
    <t>Oslovej 28, 5400 Bogense</t>
  </si>
  <si>
    <t>Oslovej 30, 5400 Bogense</t>
  </si>
  <si>
    <t>Oslovej 32, 5400 Bogense</t>
  </si>
  <si>
    <t>Oslovej 34, 5400 Bogense</t>
  </si>
  <si>
    <t>Oslovej 36, 5400 Bogense</t>
  </si>
  <si>
    <t>Oslovej 38, 5400 Bogense</t>
  </si>
  <si>
    <t>29as</t>
  </si>
  <si>
    <t>Bergenparken 4, 5400 Bogense</t>
  </si>
  <si>
    <t>29at</t>
  </si>
  <si>
    <t>Bergenparken 6, 5400 Bogense</t>
  </si>
  <si>
    <t>29au</t>
  </si>
  <si>
    <t>Bergenparken 8, 5400 Bogense</t>
  </si>
  <si>
    <t>29ax</t>
  </si>
  <si>
    <t>Bergenparken 18, 5400 Bogense</t>
  </si>
  <si>
    <t>29ay</t>
  </si>
  <si>
    <t>Bergenparken 26, 5400 Bogense</t>
  </si>
  <si>
    <t>29az</t>
  </si>
  <si>
    <t>Bergenparken 7, 5400 Bogense</t>
  </si>
  <si>
    <t>29aæ</t>
  </si>
  <si>
    <t>Oslovej 44, 5400 Bogense</t>
  </si>
  <si>
    <t>29aø</t>
  </si>
  <si>
    <t>Oslovej 40A, 5400 Bogense</t>
  </si>
  <si>
    <t>29ba</t>
  </si>
  <si>
    <t>Bergenparken 3, 5400 Bogense</t>
  </si>
  <si>
    <t>29bb</t>
  </si>
  <si>
    <t>Bergenparken 5, 5400 Bogense</t>
  </si>
  <si>
    <t>29bc</t>
  </si>
  <si>
    <t>Svelvikparken 12, 5400 Bogense</t>
  </si>
  <si>
    <t>29bd</t>
  </si>
  <si>
    <t>Svelvikparken 14, 5400 Bogense</t>
  </si>
  <si>
    <t>29be</t>
  </si>
  <si>
    <t>Svelvikparken 11, 5400 Bogense</t>
  </si>
  <si>
    <t>29bf</t>
  </si>
  <si>
    <t>Svelvikparken 13, 5400 Bogense</t>
  </si>
  <si>
    <t>29bg</t>
  </si>
  <si>
    <t>Svelvikparken 8, 5400 Bogense</t>
  </si>
  <si>
    <t>29bh</t>
  </si>
  <si>
    <t>Oslovej 46, 5400 Bogense</t>
  </si>
  <si>
    <t>29bi</t>
  </si>
  <si>
    <t>Bergenparken 20, 5400 Bogense</t>
  </si>
  <si>
    <t>29bk</t>
  </si>
  <si>
    <t>Bergenparken 22, 5400 Bogense</t>
  </si>
  <si>
    <t>29bl</t>
  </si>
  <si>
    <t>Bergenparken 24, 5400 Bogense</t>
  </si>
  <si>
    <t>31c</t>
  </si>
  <si>
    <t>Kalkværksvej 4, 5400 Bogense</t>
  </si>
  <si>
    <t>31d</t>
  </si>
  <si>
    <t>Kalkværksvej 6, 5400 Bogense</t>
  </si>
  <si>
    <t>31e</t>
  </si>
  <si>
    <t>Odensevej 23, 5400 Bogense</t>
  </si>
  <si>
    <t>31g</t>
  </si>
  <si>
    <t>Kalkværksvej 8, 5400 Bogense</t>
  </si>
  <si>
    <t>31h</t>
  </si>
  <si>
    <t>Odensevej 21, 1., 5400 Bogense</t>
  </si>
  <si>
    <t>Odensevej 21, st., 5400 Bogense</t>
  </si>
  <si>
    <t>31i</t>
  </si>
  <si>
    <t>Kalkværksvej 2, 5400 Bogense</t>
  </si>
  <si>
    <t>31l</t>
  </si>
  <si>
    <t>Odensevej 19, 5400 Bogense</t>
  </si>
  <si>
    <t>31m</t>
  </si>
  <si>
    <t>Odensevej 17, 5400 Bogense</t>
  </si>
  <si>
    <t>31n</t>
  </si>
  <si>
    <t>Odensevej 15, 5400 Bogense</t>
  </si>
  <si>
    <t>31o</t>
  </si>
  <si>
    <t>Kalkværksvej 10, 5400 Bogense</t>
  </si>
  <si>
    <t>31p</t>
  </si>
  <si>
    <t>Gl. Toldbodvej 5, 5400 Bogense</t>
  </si>
  <si>
    <t>31q</t>
  </si>
  <si>
    <t>Gl. Toldbodvej 7, 5400 Bogense</t>
  </si>
  <si>
    <t>31r</t>
  </si>
  <si>
    <t>Gl. Toldbodvej 9, 5400 Bogense</t>
  </si>
  <si>
    <t>31s</t>
  </si>
  <si>
    <t>Gl. Toldbodvej 11, 5400 Bogense</t>
  </si>
  <si>
    <t>31t</t>
  </si>
  <si>
    <t>Tværgade 19, 5400 Bogense</t>
  </si>
  <si>
    <t>31u</t>
  </si>
  <si>
    <t>Tværgade 17, 5400 Bogense</t>
  </si>
  <si>
    <t>31v</t>
  </si>
  <si>
    <t>Tværgade 15, 5400 Bogense</t>
  </si>
  <si>
    <t>31x</t>
  </si>
  <si>
    <t>Tværgade 13, 5400 Bogense</t>
  </si>
  <si>
    <t>31y</t>
  </si>
  <si>
    <t>Tværgade 11, 5400 Bogense</t>
  </si>
  <si>
    <t>31z</t>
  </si>
  <si>
    <t>Tværgade 9, 5400 Bogense</t>
  </si>
  <si>
    <t>31æ</t>
  </si>
  <si>
    <t>Tværgade 7, 5400 Bogense</t>
  </si>
  <si>
    <t>31ø</t>
  </si>
  <si>
    <t>Tværgade 5, 5400 Bogense</t>
  </si>
  <si>
    <t>31aa</t>
  </si>
  <si>
    <t>Tværgade 3, 5400 Bogense</t>
  </si>
  <si>
    <t>31ab</t>
  </si>
  <si>
    <t>Tværgade 1, 5400 Bogense</t>
  </si>
  <si>
    <t>31ae</t>
  </si>
  <si>
    <t>Gl. Toldbodvej 6, 5400 Bogense</t>
  </si>
  <si>
    <t>31af</t>
  </si>
  <si>
    <t>Gl. Toldbodvej 10, 5400 Bogense</t>
  </si>
  <si>
    <t>31ag</t>
  </si>
  <si>
    <t>Gl. Toldbodvej 12, 5400 Bogense</t>
  </si>
  <si>
    <t>31ai</t>
  </si>
  <si>
    <t>Gl. Toldbodvej 14, 5400 Bogense</t>
  </si>
  <si>
    <t>31ak</t>
  </si>
  <si>
    <t>Tværgade 8, 5400 Bogense</t>
  </si>
  <si>
    <t>31ao</t>
  </si>
  <si>
    <t>Søndermarksvej 6, 1., 5400 Bogense</t>
  </si>
  <si>
    <t>Søndermarksvej 6, st., 5400 Bogense</t>
  </si>
  <si>
    <t>31aø</t>
  </si>
  <si>
    <t>Gl. Toldbodvej 4, 5400 Bogense</t>
  </si>
  <si>
    <t>31bb</t>
  </si>
  <si>
    <t>Gl. Toldbodvej 3A, 5400 Bogense</t>
  </si>
  <si>
    <t>31bd</t>
  </si>
  <si>
    <t>Søndermarksvej 8, 5400 Bogense</t>
  </si>
  <si>
    <t>31be</t>
  </si>
  <si>
    <t>Tværgade 2, 5400 Bogense</t>
  </si>
  <si>
    <t>31bf</t>
  </si>
  <si>
    <t>Odensevej 11, 5400 Bogense</t>
  </si>
  <si>
    <t>31bh</t>
  </si>
  <si>
    <t>Gl. Toldbodvej 15, 5400 Bogense</t>
  </si>
  <si>
    <t>31bm</t>
  </si>
  <si>
    <t>Gl. Toldbodvej 17, 5400 Bogense</t>
  </si>
  <si>
    <t>31bp</t>
  </si>
  <si>
    <t>Odensevej 9, 5400 Bogense</t>
  </si>
  <si>
    <t>37b</t>
  </si>
  <si>
    <t>39b</t>
  </si>
  <si>
    <t>Skovvej 35, 5400 Bogense</t>
  </si>
  <si>
    <t>39c</t>
  </si>
  <si>
    <t>Skovvej 21, 5400 Bogense</t>
  </si>
  <si>
    <t>Skovvej 21A, 5400 Bogense</t>
  </si>
  <si>
    <t>Skovvej 21B, 5400 Bogense</t>
  </si>
  <si>
    <t>Skovvej 21C, 5400 Bogense</t>
  </si>
  <si>
    <t>Skovvej 23A, 5400 Bogense</t>
  </si>
  <si>
    <t>Skovvej 23B, 5400 Bogense</t>
  </si>
  <si>
    <t>Skovvej 25A, 5400 Bogense</t>
  </si>
  <si>
    <t>Skovvej 25B, 5400 Bogense</t>
  </si>
  <si>
    <t>Skovvej 27A, 5400 Bogense</t>
  </si>
  <si>
    <t>Skovvej 27B, 5400 Bogense</t>
  </si>
  <si>
    <t>Skovvej 29A, 5400 Bogense</t>
  </si>
  <si>
    <t>Skovvej 29B, 5400 Bogense</t>
  </si>
  <si>
    <t>Skovvej 31A, 5400 Bogense</t>
  </si>
  <si>
    <t>Skovvej 31B, 5400 Bogense</t>
  </si>
  <si>
    <t>Skovvej 31C, 5400 Bogense</t>
  </si>
  <si>
    <t>Skovvej 33A, 5400 Bogense</t>
  </si>
  <si>
    <t>Skovvej 33B, 5400 Bogense</t>
  </si>
  <si>
    <t>Bøgevej 2, 5400 Bogense</t>
  </si>
  <si>
    <t>Bøgevej 4, 5400 Bogense</t>
  </si>
  <si>
    <t>39f</t>
  </si>
  <si>
    <t>Bøgevej 6, 5400 Bogense</t>
  </si>
  <si>
    <t>39g</t>
  </si>
  <si>
    <t>Bøgevej 8, 5400 Bogense</t>
  </si>
  <si>
    <t>39h</t>
  </si>
  <si>
    <t>Bøgevej 10, 5400 Bogense</t>
  </si>
  <si>
    <t>39i</t>
  </si>
  <si>
    <t>Bøgevej 12, 5400 Bogense</t>
  </si>
  <si>
    <t>39k</t>
  </si>
  <si>
    <t>Bøgevej 18, 5400 Bogense</t>
  </si>
  <si>
    <t>39l</t>
  </si>
  <si>
    <t>Skovmærkevej 15, 5400 Bogense</t>
  </si>
  <si>
    <t>39m</t>
  </si>
  <si>
    <t>Skovmærkevej 13, 5400 Bogense</t>
  </si>
  <si>
    <t>39n</t>
  </si>
  <si>
    <t>Skovmærkevej 11, 5400 Bogense</t>
  </si>
  <si>
    <t>39o</t>
  </si>
  <si>
    <t>Skovmærkevej 9, 5400 Bogense</t>
  </si>
  <si>
    <t>39p</t>
  </si>
  <si>
    <t>Skovmærkevej 7, 5400 Bogense</t>
  </si>
  <si>
    <t>39q</t>
  </si>
  <si>
    <t>Skovmærkevej 5, 5400 Bogense</t>
  </si>
  <si>
    <t>39r</t>
  </si>
  <si>
    <t>Skovmærkevej 3, 5400 Bogense</t>
  </si>
  <si>
    <t>39s</t>
  </si>
  <si>
    <t>Skovmærkevej 1, 5400 Bogense</t>
  </si>
  <si>
    <t>39x</t>
  </si>
  <si>
    <t>Anemonevej 9, 5400 Bogense</t>
  </si>
  <si>
    <t>39y</t>
  </si>
  <si>
    <t>Bøgevej 14, 5400 Bogense</t>
  </si>
  <si>
    <t>39z</t>
  </si>
  <si>
    <t>Bøgevej 16, 5400 Bogense</t>
  </si>
  <si>
    <t>39æ</t>
  </si>
  <si>
    <t>Anemonevej 7, 5400 Bogense</t>
  </si>
  <si>
    <t>39ø</t>
  </si>
  <si>
    <t>Anemonevej 5, 5400 Bogense</t>
  </si>
  <si>
    <t>39aa</t>
  </si>
  <si>
    <t>Anemonevej 3, 5400 Bogense</t>
  </si>
  <si>
    <t>39ab</t>
  </si>
  <si>
    <t>Anemonevej 1, 5400 Bogense</t>
  </si>
  <si>
    <t>39ac</t>
  </si>
  <si>
    <t>Egevej 1, 5400 Bogense</t>
  </si>
  <si>
    <t>39ad</t>
  </si>
  <si>
    <t>Egevej 13, 5400 Bogense</t>
  </si>
  <si>
    <t>39ah;3as</t>
  </si>
  <si>
    <t>Egevej 2, 5400 Bogense</t>
  </si>
  <si>
    <t>39ai</t>
  </si>
  <si>
    <t>Egevej 4, 5400 Bogense</t>
  </si>
  <si>
    <t>39ak</t>
  </si>
  <si>
    <t>Egevej 6, 5400 Bogense</t>
  </si>
  <si>
    <t>39al</t>
  </si>
  <si>
    <t>Elmevej 2, 5400 Bogense</t>
  </si>
  <si>
    <t>39am</t>
  </si>
  <si>
    <t>Elmevej 4, 5400 Bogense</t>
  </si>
  <si>
    <t>39an</t>
  </si>
  <si>
    <t>Elmevej 6, 5400 Bogense</t>
  </si>
  <si>
    <t>39ao</t>
  </si>
  <si>
    <t>Elmevej 1, 5400 Bogense</t>
  </si>
  <si>
    <t>39ap</t>
  </si>
  <si>
    <t>Birkevej 2, 5400 Bogense</t>
  </si>
  <si>
    <t>39aq</t>
  </si>
  <si>
    <t>Elmevej 3, 5400 Bogense</t>
  </si>
  <si>
    <t>39ar</t>
  </si>
  <si>
    <t>Birkevej 4, 5400 Bogense</t>
  </si>
  <si>
    <t>39as</t>
  </si>
  <si>
    <t>Birkevej 1, 5400 Bogense</t>
  </si>
  <si>
    <t>39at</t>
  </si>
  <si>
    <t>Birkevej 3, 5400 Bogense</t>
  </si>
  <si>
    <t>39au</t>
  </si>
  <si>
    <t>Birkevej 5, 5400 Bogense</t>
  </si>
  <si>
    <t>39av</t>
  </si>
  <si>
    <t>Birkevej 7, 5400 Bogense</t>
  </si>
  <si>
    <t>39ax</t>
  </si>
  <si>
    <t>Birkevej 9, 5400 Bogense</t>
  </si>
  <si>
    <t>39ay</t>
  </si>
  <si>
    <t>Ahornvej 2, 5400 Bogense</t>
  </si>
  <si>
    <t>39az</t>
  </si>
  <si>
    <t>Ahornvej 4, 5400 Bogense</t>
  </si>
  <si>
    <t>39aæ</t>
  </si>
  <si>
    <t>Ahornvej 6, 5400 Bogense</t>
  </si>
  <si>
    <t>39aø</t>
  </si>
  <si>
    <t>Ahornvej 8, 5400 Bogense</t>
  </si>
  <si>
    <t>39ba</t>
  </si>
  <si>
    <t>Ahornvej 10, 5400 Bogense</t>
  </si>
  <si>
    <t>39bb</t>
  </si>
  <si>
    <t>Ahornvej 12, 5400 Bogense</t>
  </si>
  <si>
    <t>39bc</t>
  </si>
  <si>
    <t>Ahornvej 1, 5400 Bogense</t>
  </si>
  <si>
    <t>39be</t>
  </si>
  <si>
    <t>Ahornvej 3, 5400 Bogense</t>
  </si>
  <si>
    <t>39bf</t>
  </si>
  <si>
    <t>Ahornvej 5, 5400 Bogense</t>
  </si>
  <si>
    <t>39bg</t>
  </si>
  <si>
    <t>Ahornvej 7, 5400 Bogense</t>
  </si>
  <si>
    <t>39bh</t>
  </si>
  <si>
    <t>Ahornvej 9, 5400 Bogense</t>
  </si>
  <si>
    <t>39bi</t>
  </si>
  <si>
    <t>Ahornvej 11, 5400 Bogense</t>
  </si>
  <si>
    <t>39bl</t>
  </si>
  <si>
    <t>Eranthisvej 1, 5400 Bogense</t>
  </si>
  <si>
    <t>39bm</t>
  </si>
  <si>
    <t>Eranthisvej 3, 5400 Bogense</t>
  </si>
  <si>
    <t>39bn</t>
  </si>
  <si>
    <t>Eranthisvej 5, 5400 Bogense</t>
  </si>
  <si>
    <t>39bo</t>
  </si>
  <si>
    <t>Eranthisvej 7, 5400 Bogense</t>
  </si>
  <si>
    <t>39bp</t>
  </si>
  <si>
    <t>Eranthisvej 9, 5400 Bogense</t>
  </si>
  <si>
    <t>39bq</t>
  </si>
  <si>
    <t>Eranthisvej 11, 5400 Bogense</t>
  </si>
  <si>
    <t>39br</t>
  </si>
  <si>
    <t>Eranthisvej 13, 5400 Bogense</t>
  </si>
  <si>
    <t>39bs</t>
  </si>
  <si>
    <t>Eranthisvej 15, 5400 Bogense</t>
  </si>
  <si>
    <t>39ca</t>
  </si>
  <si>
    <t>Egevej 11, 5400 Bogense</t>
  </si>
  <si>
    <t>39cb</t>
  </si>
  <si>
    <t>Egevej 9, 5400 Bogense</t>
  </si>
  <si>
    <t>39cc</t>
  </si>
  <si>
    <t>Egevej 7, 5400 Bogense</t>
  </si>
  <si>
    <t>39cd</t>
  </si>
  <si>
    <t>Egevej 5, 5400 Bogense</t>
  </si>
  <si>
    <t>39ce</t>
  </si>
  <si>
    <t>Egevej 3, 5400 Bogense</t>
  </si>
  <si>
    <t>39cf</t>
  </si>
  <si>
    <t>40b</t>
  </si>
  <si>
    <t>Huggetvej 27, Bogense Mark, 5400 Bogense</t>
  </si>
  <si>
    <t>43c</t>
  </si>
  <si>
    <t>Almindevej 1, 5400 Bogense</t>
  </si>
  <si>
    <t>43l</t>
  </si>
  <si>
    <t>Huggetvej 15, 5400 Bogense</t>
  </si>
  <si>
    <t>43m</t>
  </si>
  <si>
    <t>Jyllandsvej 7, 5400 Bogense</t>
  </si>
  <si>
    <t>45a;45b;45an;91bs;91cz</t>
  </si>
  <si>
    <t>Tromsøparken 18A, Bogense, 5400 Bogense</t>
  </si>
  <si>
    <t>Odensevej 25, 5400 Bogense</t>
  </si>
  <si>
    <t>49b</t>
  </si>
  <si>
    <t>Odensevej 37, 5400 Bogense</t>
  </si>
  <si>
    <t>Odensevej 35, 5400 Bogense</t>
  </si>
  <si>
    <t>Odensevej 33, 5400 Bogense</t>
  </si>
  <si>
    <t>49g</t>
  </si>
  <si>
    <t>Odensevej 29, 5400 Bogense</t>
  </si>
  <si>
    <t>49h</t>
  </si>
  <si>
    <t>Odensevej 27, 5400 Bogense</t>
  </si>
  <si>
    <t>Odensevej 27, 1., 5400 Bogense</t>
  </si>
  <si>
    <t>Odensevej 27, st., 5400 Bogense</t>
  </si>
  <si>
    <t>49n</t>
  </si>
  <si>
    <t>Odensevej 31, 5400 Bogense</t>
  </si>
  <si>
    <t>52a</t>
  </si>
  <si>
    <t>Violvej 5, 5400 Bogense</t>
  </si>
  <si>
    <t>Violvej 11, 5400 Bogense</t>
  </si>
  <si>
    <t>Violvej 18, 5400 Bogense</t>
  </si>
  <si>
    <t>Violvej 20, 5400 Bogense</t>
  </si>
  <si>
    <t>Violvej 22, 5400 Bogense</t>
  </si>
  <si>
    <t>Violvej 24, 5400 Bogense</t>
  </si>
  <si>
    <t>Violvej 7, 5400 Bogense</t>
  </si>
  <si>
    <t>Violvej 9, 5400 Bogense</t>
  </si>
  <si>
    <t>54a</t>
  </si>
  <si>
    <t>Huggetvej 78, Kræmmerkrog, 5400 Bogense</t>
  </si>
  <si>
    <t>58g</t>
  </si>
  <si>
    <t>Odensevej 74, 5400 Bogense</t>
  </si>
  <si>
    <t>58h</t>
  </si>
  <si>
    <t>Odensevej 68, 5400 Bogense</t>
  </si>
  <si>
    <t>58i</t>
  </si>
  <si>
    <t>Odensevej 72, 5400 Bogense</t>
  </si>
  <si>
    <t>58k</t>
  </si>
  <si>
    <t>Odensevej 66, 5400 Bogense</t>
  </si>
  <si>
    <t>58l</t>
  </si>
  <si>
    <t>Odensevej 70, 5400 Bogense</t>
  </si>
  <si>
    <t>60f</t>
  </si>
  <si>
    <t>Odensevej 92, 5400 Bogense</t>
  </si>
  <si>
    <t>60g</t>
  </si>
  <si>
    <t>Odensevej 88, 5400 Bogense</t>
  </si>
  <si>
    <t>60h</t>
  </si>
  <si>
    <t>Odensevej 90, 5400 Bogense</t>
  </si>
  <si>
    <t>62c</t>
  </si>
  <si>
    <t>63g</t>
  </si>
  <si>
    <t>Storkenhøjvej 89, Fogense, 5400 Bogense</t>
  </si>
  <si>
    <t>63i</t>
  </si>
  <si>
    <t>Storkenhøjvej 71, Fogense, 5400 Bogense</t>
  </si>
  <si>
    <t>63k</t>
  </si>
  <si>
    <t>Storkenhøjvej 75, Fogense, 5400 Bogense</t>
  </si>
  <si>
    <t>63l</t>
  </si>
  <si>
    <t>Storkenhøjvej 77, Fogense, 5400 Bogense</t>
  </si>
  <si>
    <t>66f</t>
  </si>
  <si>
    <t>Huggetvej 48, Gungerne, 5400 Bogense</t>
  </si>
  <si>
    <t>69c</t>
  </si>
  <si>
    <t>Huggetvej 33, Bogense Mark, 5400 Bogense</t>
  </si>
  <si>
    <t>72d</t>
  </si>
  <si>
    <t>Violvej 16, 5400 Bogense</t>
  </si>
  <si>
    <t>72e</t>
  </si>
  <si>
    <t>Violvej 14, 5400 Bogense</t>
  </si>
  <si>
    <t>72f</t>
  </si>
  <si>
    <t>Violvej 12, 5400 Bogense</t>
  </si>
  <si>
    <t>72g</t>
  </si>
  <si>
    <t>Violvej 10, 5400 Bogense</t>
  </si>
  <si>
    <t>72i</t>
  </si>
  <si>
    <t>Violvej 8, 5400 Bogense</t>
  </si>
  <si>
    <t>72k</t>
  </si>
  <si>
    <t>Violvej 6, 5400 Bogense</t>
  </si>
  <si>
    <t>72l</t>
  </si>
  <si>
    <t>Violvej 4, 5400 Bogense</t>
  </si>
  <si>
    <t>72m</t>
  </si>
  <si>
    <t>Violvej 2, 5400 Bogense</t>
  </si>
  <si>
    <t>72n</t>
  </si>
  <si>
    <t>Bellisvej 2, 5400 Bogense</t>
  </si>
  <si>
    <t>72o</t>
  </si>
  <si>
    <t>Bellisvej 4, 5400 Bogense</t>
  </si>
  <si>
    <t>72p</t>
  </si>
  <si>
    <t>Bellisvej 6, 5400 Bogense</t>
  </si>
  <si>
    <t>72q</t>
  </si>
  <si>
    <t>Bellisvej 8, 5400 Bogense</t>
  </si>
  <si>
    <t>72r</t>
  </si>
  <si>
    <t>Bellisvej 10, 5400 Bogense</t>
  </si>
  <si>
    <t>72s</t>
  </si>
  <si>
    <t>Bellisvej 12, 5400 Bogense</t>
  </si>
  <si>
    <t>72t</t>
  </si>
  <si>
    <t>Bellisvej 14, 5400 Bogense</t>
  </si>
  <si>
    <t>72u</t>
  </si>
  <si>
    <t>Bellisvej 16, 5400 Bogense</t>
  </si>
  <si>
    <t>72v</t>
  </si>
  <si>
    <t>Bellisvej 18, 5400 Bogense</t>
  </si>
  <si>
    <t>72x</t>
  </si>
  <si>
    <t>78b</t>
  </si>
  <si>
    <t>81a</t>
  </si>
  <si>
    <t>Østre Engvej 2, 5400 Bogense</t>
  </si>
  <si>
    <t>Østre Engvej 10, 5400 Bogense</t>
  </si>
  <si>
    <t>Østre Engvej 12, 5400 Bogense</t>
  </si>
  <si>
    <t>Østre Engvej 14, 5400 Bogense</t>
  </si>
  <si>
    <t>Østre Engvej 4, 5400 Bogense</t>
  </si>
  <si>
    <t>Østre Engvej 6, 5400 Bogense</t>
  </si>
  <si>
    <t>Østre Engvej 8, 5400 Bogense</t>
  </si>
  <si>
    <t>81b</t>
  </si>
  <si>
    <t>Gyldensteensvej 12, 5400 Bogense</t>
  </si>
  <si>
    <t>81c</t>
  </si>
  <si>
    <t>Gyldensteensvej 10A, 1., 5400 Bogense</t>
  </si>
  <si>
    <t>Gyldensteensvej 10A, 2., 5400 Bogense</t>
  </si>
  <si>
    <t>Gyldensteensvej 10B, 5400 Bogense</t>
  </si>
  <si>
    <t>81d</t>
  </si>
  <si>
    <t>Gyldensteensvej 14, 5400 Bogense</t>
  </si>
  <si>
    <t>81i</t>
  </si>
  <si>
    <t>Havebuerne 1, 5400 Bogense</t>
  </si>
  <si>
    <t>81k</t>
  </si>
  <si>
    <t>Gyldensteensvej 16, 5400 Bogense</t>
  </si>
  <si>
    <t>81m</t>
  </si>
  <si>
    <t>Gyldensteensvej 34, 5400 Bogense</t>
  </si>
  <si>
    <t>81n</t>
  </si>
  <si>
    <t>Gyldensteensvej 18, 5400 Bogense</t>
  </si>
  <si>
    <t>81o</t>
  </si>
  <si>
    <t>81p</t>
  </si>
  <si>
    <t>Gyldensteensvej 26, 5400 Bogense</t>
  </si>
  <si>
    <t>81q</t>
  </si>
  <si>
    <t>Gyldensteensvej 36, 5400 Bogense</t>
  </si>
  <si>
    <t>81s</t>
  </si>
  <si>
    <t>81t</t>
  </si>
  <si>
    <t>Østre Engvej 16A, 5400 Bogense</t>
  </si>
  <si>
    <t>Østre Engvej 16B, 5400 Bogense</t>
  </si>
  <si>
    <t>81u</t>
  </si>
  <si>
    <t>Østre Engvej 18, 5400 Bogense</t>
  </si>
  <si>
    <t>88;12x</t>
  </si>
  <si>
    <t>Stegøvej 10, 5400 Bogense</t>
  </si>
  <si>
    <t>91c</t>
  </si>
  <si>
    <t>Stavangerparken 1, 5400 Bogense</t>
  </si>
  <si>
    <t>91d</t>
  </si>
  <si>
    <t>Stavangerparken 3, 5400 Bogense</t>
  </si>
  <si>
    <t>91g</t>
  </si>
  <si>
    <t>Stavangerparken 9, 5400 Bogense</t>
  </si>
  <si>
    <t>91h</t>
  </si>
  <si>
    <t>Stavangerparken 11, 5400 Bogense</t>
  </si>
  <si>
    <t>91i</t>
  </si>
  <si>
    <t>Stavangerparken 13, 5400 Bogense</t>
  </si>
  <si>
    <t>91k</t>
  </si>
  <si>
    <t>Stavangerparken 15, 5400 Bogense</t>
  </si>
  <si>
    <t>91l</t>
  </si>
  <si>
    <t>Stavangerparken 19, 5400 Bogense</t>
  </si>
  <si>
    <t>91m</t>
  </si>
  <si>
    <t>Stavangerparken 17, 5400 Bogense</t>
  </si>
  <si>
    <t>91n</t>
  </si>
  <si>
    <t>Stavangerparken 29, 5400 Bogense</t>
  </si>
  <si>
    <t>91o</t>
  </si>
  <si>
    <t>Stavangerparken 35, 5400 Bogense</t>
  </si>
  <si>
    <t>91p</t>
  </si>
  <si>
    <t>Stavangerparken 37, 5400 Bogense</t>
  </si>
  <si>
    <t>91q</t>
  </si>
  <si>
    <t>Stavangerparken 39, 5400 Bogense</t>
  </si>
  <si>
    <t>91r</t>
  </si>
  <si>
    <t>Stavangerparken 31, 5400 Bogense</t>
  </si>
  <si>
    <t>91s</t>
  </si>
  <si>
    <t>Stavangerparken 33, 5400 Bogense</t>
  </si>
  <si>
    <t>91t</t>
  </si>
  <si>
    <t>Stavangerparken 23C, 5400 Bogense</t>
  </si>
  <si>
    <t>91u</t>
  </si>
  <si>
    <t>Stavangerparken 43, 5400 Bogense</t>
  </si>
  <si>
    <t>91v</t>
  </si>
  <si>
    <t>Stavangerparken 45, 5400 Bogense</t>
  </si>
  <si>
    <t>91x</t>
  </si>
  <si>
    <t>Stavangerparken 47, 5400 Bogense</t>
  </si>
  <si>
    <t>91z</t>
  </si>
  <si>
    <t>Stavangerparken 12, 5400 Bogense</t>
  </si>
  <si>
    <t>91æ</t>
  </si>
  <si>
    <t>Stavangerparken 10, 5400 Bogense</t>
  </si>
  <si>
    <t>91ø</t>
  </si>
  <si>
    <t>Stavangerparken 8, 5400 Bogense</t>
  </si>
  <si>
    <t>91aa</t>
  </si>
  <si>
    <t>Bodøparken 1, 5400 Bogense</t>
  </si>
  <si>
    <t>91ab</t>
  </si>
  <si>
    <t>Bodøparken 3, 5400 Bogense</t>
  </si>
  <si>
    <t>91ac</t>
  </si>
  <si>
    <t>Bodøparken 5, 5400 Bogense</t>
  </si>
  <si>
    <t>91ad</t>
  </si>
  <si>
    <t>Bodøparken 7, 5400 Bogense</t>
  </si>
  <si>
    <t>91ae</t>
  </si>
  <si>
    <t>Bodøparken 9, 5400 Bogense</t>
  </si>
  <si>
    <t>91af</t>
  </si>
  <si>
    <t>Bodøparken 11, 5400 Bogense</t>
  </si>
  <si>
    <t>91ag</t>
  </si>
  <si>
    <t>Bodøparken 13, 5400 Bogense</t>
  </si>
  <si>
    <t>91ah</t>
  </si>
  <si>
    <t>Bodøparken 15, 5400 Bogense</t>
  </si>
  <si>
    <t>91ai</t>
  </si>
  <si>
    <t>Bodøparken 17, 5400 Bogense</t>
  </si>
  <si>
    <t>91ak</t>
  </si>
  <si>
    <t>Bodøparken 19, 5400 Bogense</t>
  </si>
  <si>
    <t>91al</t>
  </si>
  <si>
    <t>Bodøparken 25, 5400 Bogense</t>
  </si>
  <si>
    <t>91am</t>
  </si>
  <si>
    <t>Bodøparken 23, 5400 Bogense</t>
  </si>
  <si>
    <t>91an</t>
  </si>
  <si>
    <t>Bodøparken 21, 5400 Bogense</t>
  </si>
  <si>
    <t>91ao</t>
  </si>
  <si>
    <t>Bodøparken 33, 5400 Bogense</t>
  </si>
  <si>
    <t>91ap</t>
  </si>
  <si>
    <t>Bodøparken 31, 5400 Bogense</t>
  </si>
  <si>
    <t>91aq</t>
  </si>
  <si>
    <t>Bodøparken 29, 5400 Bogense</t>
  </si>
  <si>
    <t>91ar</t>
  </si>
  <si>
    <t>Bodøparken 10, 5400 Bogense</t>
  </si>
  <si>
    <t>91as</t>
  </si>
  <si>
    <t>Bodøparken 12, 5400 Bogense</t>
  </si>
  <si>
    <t>91at</t>
  </si>
  <si>
    <t>Bodøparken 14, 5400 Bogense</t>
  </si>
  <si>
    <t>91au</t>
  </si>
  <si>
    <t>Bodøparken 36, 5400 Bogense</t>
  </si>
  <si>
    <t>91av</t>
  </si>
  <si>
    <t>Stavangerparken 23B, 5400 Bogense</t>
  </si>
  <si>
    <t>91ax</t>
  </si>
  <si>
    <t>Stavangerparken 23A, 5400 Bogense</t>
  </si>
  <si>
    <t>91ay</t>
  </si>
  <si>
    <t>Stavangerparken 21B, 5400 Bogense</t>
  </si>
  <si>
    <t>91az</t>
  </si>
  <si>
    <t>Stavangerparken 21A, 5400 Bogense</t>
  </si>
  <si>
    <t>91aæ</t>
  </si>
  <si>
    <t>Stavangerparken 49, 5400 Bogense</t>
  </si>
  <si>
    <t>91aø</t>
  </si>
  <si>
    <t>Stavangerparken 51, 5400 Bogense</t>
  </si>
  <si>
    <t>91bc</t>
  </si>
  <si>
    <t>Stavangerparken 14, 5400 Bogense</t>
  </si>
  <si>
    <t>92e</t>
  </si>
  <si>
    <t>Gyldensteensvej 75, 5400 Bogense</t>
  </si>
  <si>
    <t>Tromsøparken 2, Bogense, 5400 Bogense</t>
  </si>
  <si>
    <t>Huggetvej 59, Gungerne, 5400 Bogense</t>
  </si>
  <si>
    <t>99b</t>
  </si>
  <si>
    <t>Almindevej 50, Almindehuse, 5400 Bogense</t>
  </si>
  <si>
    <t>101a</t>
  </si>
  <si>
    <t>Stegøvej 2, 5400 Bogense</t>
  </si>
  <si>
    <t>Gyldensteensvej 51, th, 5400 Bogense</t>
  </si>
  <si>
    <t>Gyldensteensvej 51, tv, 5400 Bogense</t>
  </si>
  <si>
    <t>Stegøvej 6A, 5400 Bogense</t>
  </si>
  <si>
    <t>Stegøvej 6B, 5400 Bogense</t>
  </si>
  <si>
    <t>Stegøvej 6C, 5400 Bogense</t>
  </si>
  <si>
    <t>Stegøvej 6D, 5400 Bogense</t>
  </si>
  <si>
    <t>Stegøvej 6E, 5400 Bogense</t>
  </si>
  <si>
    <t>Stegøvej 6F, 5400 Bogense</t>
  </si>
  <si>
    <t>Stegøvej 6G, 5400 Bogense</t>
  </si>
  <si>
    <t>Stegøvej 6H, 5400 Bogense</t>
  </si>
  <si>
    <t>101i</t>
  </si>
  <si>
    <t>Gyldensteensvej 73, 5400 Bogense</t>
  </si>
  <si>
    <t>101k</t>
  </si>
  <si>
    <t>Gyldensteensvej 71, 5400 Bogense</t>
  </si>
  <si>
    <t>101o</t>
  </si>
  <si>
    <t>Gyldensteensvej 63, 5400 Bogense</t>
  </si>
  <si>
    <t>101p</t>
  </si>
  <si>
    <t>Gyldensteensvej 61, 5400 Bogense</t>
  </si>
  <si>
    <t>101s</t>
  </si>
  <si>
    <t>Gyldensteensvej 57, 5400 Bogense</t>
  </si>
  <si>
    <t>101t</t>
  </si>
  <si>
    <t>Gyldensteensvej 55, 5400 Bogense</t>
  </si>
  <si>
    <t>101u</t>
  </si>
  <si>
    <t>Gyldensteensvej 53, 5400 Bogense</t>
  </si>
  <si>
    <t>103b</t>
  </si>
  <si>
    <t>Huggetvej 47, Bogense Mark, 5400 Bogense</t>
  </si>
  <si>
    <t>105a</t>
  </si>
  <si>
    <t>Almindevej 38, Almindehuse, 5400 Bogense</t>
  </si>
  <si>
    <t>106a</t>
  </si>
  <si>
    <t>Skovvej 49, 5400 Bogense</t>
  </si>
  <si>
    <t>106b</t>
  </si>
  <si>
    <t>Skovvej 61, 5400 Bogense</t>
  </si>
  <si>
    <t>106c</t>
  </si>
  <si>
    <t>Skovvej 63, 5400 Bogense</t>
  </si>
  <si>
    <t>106d</t>
  </si>
  <si>
    <t>Skovvej 65, 5400 Bogense</t>
  </si>
  <si>
    <t>106e</t>
  </si>
  <si>
    <t>Skovvej 59, 5400 Bogense</t>
  </si>
  <si>
    <t>106g</t>
  </si>
  <si>
    <t>Skovvej 57, 5400 Bogense</t>
  </si>
  <si>
    <t>106h</t>
  </si>
  <si>
    <t>Skovvej 55, 5400 Bogense</t>
  </si>
  <si>
    <t>106i</t>
  </si>
  <si>
    <t>Skovvej 53, 5400 Bogense</t>
  </si>
  <si>
    <t>106k</t>
  </si>
  <si>
    <t>Skovvej 41, 5400 Bogense</t>
  </si>
  <si>
    <t>106l</t>
  </si>
  <si>
    <t>Skovvej 43, 5400 Bogense</t>
  </si>
  <si>
    <t>106m</t>
  </si>
  <si>
    <t>Skovvej 45, 5400 Bogense</t>
  </si>
  <si>
    <t>106n</t>
  </si>
  <si>
    <t>Skovvej 39, 5400 Bogense</t>
  </si>
  <si>
    <t>106o</t>
  </si>
  <si>
    <t>Skovvej 37, 5400 Bogense</t>
  </si>
  <si>
    <t>106p</t>
  </si>
  <si>
    <t>Skovvej 51, 5400 Bogense</t>
  </si>
  <si>
    <t>106q</t>
  </si>
  <si>
    <t>Skovvej 47, 5400 Bogense</t>
  </si>
  <si>
    <t>106r</t>
  </si>
  <si>
    <t>Stegøvej 22A, 5400 Bogense</t>
  </si>
  <si>
    <t>108b</t>
  </si>
  <si>
    <t>Stegøvej 16, 5400 Bogense</t>
  </si>
  <si>
    <t>Stegøvej 18, 5400 Bogense</t>
  </si>
  <si>
    <t>108f</t>
  </si>
  <si>
    <t>Stegøvej 24, 5400 Bogense</t>
  </si>
  <si>
    <t>108g</t>
  </si>
  <si>
    <t>Stegøvej 26, 5400 Bogense</t>
  </si>
  <si>
    <t>108h</t>
  </si>
  <si>
    <t>Stegøvej 28, 5400 Bogense</t>
  </si>
  <si>
    <t>108i</t>
  </si>
  <si>
    <t>Stegøvej 30, 5400 Bogense</t>
  </si>
  <si>
    <t>108k</t>
  </si>
  <si>
    <t>Stegøvej 32, 5400 Bogense</t>
  </si>
  <si>
    <t>108l</t>
  </si>
  <si>
    <t>Stegøvej 34, 5400 Bogense</t>
  </si>
  <si>
    <t>108m</t>
  </si>
  <si>
    <t>Stegøvej 36, 5400 Bogense</t>
  </si>
  <si>
    <t>110b</t>
  </si>
  <si>
    <t>Almindevej 56, Almindehuse, 5400 Bogense</t>
  </si>
  <si>
    <t>112c</t>
  </si>
  <si>
    <t>Almindevej 52, Almindehuse, 5400 Bogense</t>
  </si>
  <si>
    <t>112d</t>
  </si>
  <si>
    <t>Almindevej 54, Almindehuse, 5400 Bogense</t>
  </si>
  <si>
    <t>115e</t>
  </si>
  <si>
    <t>Gyldensteensvej 13, 5400 Bogense</t>
  </si>
  <si>
    <t>115f</t>
  </si>
  <si>
    <t>Gyldensteensvej 15A, 5400 Bogense</t>
  </si>
  <si>
    <t>Gyldensteensvej 15B, 5400 Bogense</t>
  </si>
  <si>
    <t>115g</t>
  </si>
  <si>
    <t>Gyldensteensvej 17, 1., 5400 Bogense</t>
  </si>
  <si>
    <t>Gyldensteensvej 17, st., 5400 Bogense</t>
  </si>
  <si>
    <t>115h</t>
  </si>
  <si>
    <t>Gyldensteensvej 19, 5400 Bogense</t>
  </si>
  <si>
    <t>115i</t>
  </si>
  <si>
    <t>Gyldensteensvej 21, 5400 Bogense</t>
  </si>
  <si>
    <t>115k</t>
  </si>
  <si>
    <t>Gyldensteensvej 23, 5400 Bogense</t>
  </si>
  <si>
    <t>115l</t>
  </si>
  <si>
    <t>Gyldensteensvej 31, st., 5400 Bogense</t>
  </si>
  <si>
    <t>Lindøvej 2A, 1., 5400 Bogense</t>
  </si>
  <si>
    <t>Lindøvej 2A, 2., 5400 Bogense</t>
  </si>
  <si>
    <t>115m</t>
  </si>
  <si>
    <t>Gyldensteensvej 33, 5400 Bogense</t>
  </si>
  <si>
    <t>115n</t>
  </si>
  <si>
    <t>Gyldensteensvej 35, 1., 5400 Bogense</t>
  </si>
  <si>
    <t>Gyldensteensvej 35, 2., 5400 Bogense</t>
  </si>
  <si>
    <t>Gyldensteensvej 35, st., 5400 Bogense</t>
  </si>
  <si>
    <t>115o</t>
  </si>
  <si>
    <t>Gyldensteensvej 37, 1., 5400 Bogense</t>
  </si>
  <si>
    <t>Gyldensteensvej 37, st., 5400 Bogense</t>
  </si>
  <si>
    <t>115r</t>
  </si>
  <si>
    <t>Lindøvej 2, 5400 Bogense</t>
  </si>
  <si>
    <t>115s</t>
  </si>
  <si>
    <t>Gyldensteensvej 25, 5400 Bogense</t>
  </si>
  <si>
    <t>115t</t>
  </si>
  <si>
    <t>Gyldensteensvej 27, 5400 Bogense</t>
  </si>
  <si>
    <t>115u</t>
  </si>
  <si>
    <t>Gyldensteensvej 29, 5400 Bogense</t>
  </si>
  <si>
    <t>115v</t>
  </si>
  <si>
    <t>Lindøvej 7, 5400 Bogense</t>
  </si>
  <si>
    <t>115x</t>
  </si>
  <si>
    <t>Lindøvej 3, 5400 Bogense</t>
  </si>
  <si>
    <t>115æ</t>
  </si>
  <si>
    <t>Lindøvej 8, 5400 Bogense</t>
  </si>
  <si>
    <t>115ø</t>
  </si>
  <si>
    <t>Lindøvej 4, 5400 Bogense</t>
  </si>
  <si>
    <t>115aa</t>
  </si>
  <si>
    <t>Lindøvej 5, 5400 Bogense</t>
  </si>
  <si>
    <t>115ac</t>
  </si>
  <si>
    <t>Lindøvej 6, 5400 Bogense</t>
  </si>
  <si>
    <t>121a</t>
  </si>
  <si>
    <t>Skovvej 71, 5400 Bogense</t>
  </si>
  <si>
    <t>126a</t>
  </si>
  <si>
    <t>Rolighedsvej 12, 5400 Bogense</t>
  </si>
  <si>
    <t>126f</t>
  </si>
  <si>
    <t>Rolighedsvej 14, 5400 Bogense</t>
  </si>
  <si>
    <t>126g</t>
  </si>
  <si>
    <t>Rolighedsvej 10, 5400 Bogense</t>
  </si>
  <si>
    <t>126k</t>
  </si>
  <si>
    <t>Grønnevej 1, 5400 Bogense</t>
  </si>
  <si>
    <t>126l</t>
  </si>
  <si>
    <t>Grønnevej 3, 5400 Bogense</t>
  </si>
  <si>
    <t>130a</t>
  </si>
  <si>
    <t>Stegøvej 12, 5400 Bogense</t>
  </si>
  <si>
    <t>130b</t>
  </si>
  <si>
    <t>Ved Stranden 1, 5400 Bogense</t>
  </si>
  <si>
    <t>131a</t>
  </si>
  <si>
    <t>Huggetvej 39, Bogense Mark, 5400 Bogense</t>
  </si>
  <si>
    <t>133c</t>
  </si>
  <si>
    <t>Odensevej 78, 5400 Bogense</t>
  </si>
  <si>
    <t>133e</t>
  </si>
  <si>
    <t>Huggetvej 2, 5400 Bogense</t>
  </si>
  <si>
    <t>133f</t>
  </si>
  <si>
    <t>Huggetvej 8, 5400 Bogense</t>
  </si>
  <si>
    <t>134a</t>
  </si>
  <si>
    <t>Odensevej 41, 5400 Bogense</t>
  </si>
  <si>
    <t>134c</t>
  </si>
  <si>
    <t>Odensevej 56A, 5400 Bogense</t>
  </si>
  <si>
    <t>134d</t>
  </si>
  <si>
    <t>Odensevej 40A, 5400 Bogense</t>
  </si>
  <si>
    <t>Odensevej 40B, 5400 Bogense</t>
  </si>
  <si>
    <t>134e</t>
  </si>
  <si>
    <t>Ved Diget 1, 5400 Bogense</t>
  </si>
  <si>
    <t>134f</t>
  </si>
  <si>
    <t>Odensevej 39, 5400 Bogense</t>
  </si>
  <si>
    <t>134h</t>
  </si>
  <si>
    <t>Odensevej 43, 5400 Bogense</t>
  </si>
  <si>
    <t>134l</t>
  </si>
  <si>
    <t>Ved Diget 3, 5400 Bogense</t>
  </si>
  <si>
    <t>134m</t>
  </si>
  <si>
    <t>Odensevej 56, 5400 Bogense</t>
  </si>
  <si>
    <t>134n</t>
  </si>
  <si>
    <t>Odensevej 54, 5400 Bogense</t>
  </si>
  <si>
    <t>134o</t>
  </si>
  <si>
    <t>Odensevej 46, 5400 Bogense</t>
  </si>
  <si>
    <t>134p</t>
  </si>
  <si>
    <t>Odensevej 48, 5400 Bogense</t>
  </si>
  <si>
    <t>134q</t>
  </si>
  <si>
    <t>Odensevej 50, 5400 Bogense</t>
  </si>
  <si>
    <t>134r</t>
  </si>
  <si>
    <t>Odensevej 52, 5400 Bogense</t>
  </si>
  <si>
    <t>134s</t>
  </si>
  <si>
    <t>Odensevej 44, 5400 Bogense</t>
  </si>
  <si>
    <t>134u</t>
  </si>
  <si>
    <t>Odensevej 42A, 5400 Bogense</t>
  </si>
  <si>
    <t>Odensevej 42B, 5400 Bogense</t>
  </si>
  <si>
    <t>Odensevej 42C, 5400 Bogense</t>
  </si>
  <si>
    <t>Odensevej 42D, 5400 Bogense</t>
  </si>
  <si>
    <t>Odensevej 42E, 5400 Bogense</t>
  </si>
  <si>
    <t>Odensevej 42F, 5400 Bogense</t>
  </si>
  <si>
    <t>Odensevej 42G, 5400 Bogense</t>
  </si>
  <si>
    <t>Odensevej 42H, 5400 Bogense</t>
  </si>
  <si>
    <t>Odensevej 42K, 5400 Bogense</t>
  </si>
  <si>
    <t>134v</t>
  </si>
  <si>
    <t>Oslovej 48A, 5400 Bogense</t>
  </si>
  <si>
    <t>134x</t>
  </si>
  <si>
    <t>134y</t>
  </si>
  <si>
    <t>134z</t>
  </si>
  <si>
    <t>134æ</t>
  </si>
  <si>
    <t>Fuglebakken 3, 5400 Bogense</t>
  </si>
  <si>
    <t>Abildvej 1, 5400 Bogense</t>
  </si>
  <si>
    <t>Vestre Engvej 11, 5400 Bogense</t>
  </si>
  <si>
    <t>145c</t>
  </si>
  <si>
    <t>Odensevej 4, 5400 Bogense</t>
  </si>
  <si>
    <t>145d</t>
  </si>
  <si>
    <t>Odensevej 6, 5400 Bogense</t>
  </si>
  <si>
    <t>145e</t>
  </si>
  <si>
    <t>Odensevej 8, 5400 Bogense</t>
  </si>
  <si>
    <t>Odensevej 8, 1., 5400 Bogense</t>
  </si>
  <si>
    <t>Odensevej 8, st., 5400 Bogense</t>
  </si>
  <si>
    <t>145g</t>
  </si>
  <si>
    <t>Odensevej 10, 5400 Bogense</t>
  </si>
  <si>
    <t>Odensevej 12, 5400 Bogense</t>
  </si>
  <si>
    <t>Odensevej 14, 5400 Bogense</t>
  </si>
  <si>
    <t>Odensevej 16, 5400 Bogense</t>
  </si>
  <si>
    <t>Odensevej 18, 5400 Bogense</t>
  </si>
  <si>
    <t>Odensevej 20, 5400 Bogense</t>
  </si>
  <si>
    <t>Odensevej 22, 5400 Bogense</t>
  </si>
  <si>
    <t>Odensevej 24, 5400 Bogense</t>
  </si>
  <si>
    <t>Odensevej 26, 5400 Bogense</t>
  </si>
  <si>
    <t>Odensevej 28, 5400 Bogense</t>
  </si>
  <si>
    <t>Odensevej 30, 5400 Bogense</t>
  </si>
  <si>
    <t>Odensevej 32, 5400 Bogense</t>
  </si>
  <si>
    <t>145h</t>
  </si>
  <si>
    <t>Abildvej 5, 5400 Bogense</t>
  </si>
  <si>
    <t>Abildvej 5, st. th, 5400 Bogense</t>
  </si>
  <si>
    <t>Abildvej 5, st. tv, 5400 Bogense</t>
  </si>
  <si>
    <t>145i</t>
  </si>
  <si>
    <t>Ved Diget 2, 5400 Bogense</t>
  </si>
  <si>
    <t>145k</t>
  </si>
  <si>
    <t>Odensevej 36, 5400 Bogense</t>
  </si>
  <si>
    <t>145l</t>
  </si>
  <si>
    <t>Odensevej 34A, 5400 Bogense</t>
  </si>
  <si>
    <t>Abildvej 4, 5400 Bogense</t>
  </si>
  <si>
    <t>Odensevej 34A, kl., 5400 Bogense</t>
  </si>
  <si>
    <t>Odensevej 34A, st., 5400 Bogense</t>
  </si>
  <si>
    <t>145m</t>
  </si>
  <si>
    <t>Odensevej 34, 5400 Bogense</t>
  </si>
  <si>
    <t>150</t>
  </si>
  <si>
    <t>Skovvej 70, 5400 Bogense</t>
  </si>
  <si>
    <t>152a</t>
  </si>
  <si>
    <t>157</t>
  </si>
  <si>
    <t>Grønnevej 20, 5400 Bogense</t>
  </si>
  <si>
    <t>Huggetvej 84, Skovby Nymark, 5400 Bogense</t>
  </si>
  <si>
    <t>160</t>
  </si>
  <si>
    <t>Stegøvej 102A, 5400 Bogense</t>
  </si>
  <si>
    <t>7000f</t>
  </si>
  <si>
    <t>7000ab</t>
  </si>
  <si>
    <t>Bellisvej 65A, 5400 Bogense</t>
  </si>
  <si>
    <t>7000ac</t>
  </si>
  <si>
    <t>7000ad</t>
  </si>
  <si>
    <t>7000ae</t>
  </si>
  <si>
    <t>7000af</t>
  </si>
  <si>
    <t>7000ag</t>
  </si>
  <si>
    <t>7000ah</t>
  </si>
  <si>
    <t>7000ai</t>
  </si>
  <si>
    <t>7000ak</t>
  </si>
  <si>
    <t>7000al</t>
  </si>
  <si>
    <t>7000am</t>
  </si>
  <si>
    <t>7000an</t>
  </si>
  <si>
    <t>7000ao</t>
  </si>
  <si>
    <t>7000ap</t>
  </si>
  <si>
    <t>3b</t>
  </si>
  <si>
    <t>Vestergade 2, st. tv, 5400 Bogense</t>
  </si>
  <si>
    <t>Vestergade 4, 1. th, 5400 Bogense</t>
  </si>
  <si>
    <t>Vestergade 4, 2. tv, 5400 Bogense</t>
  </si>
  <si>
    <t>Vestergade 4, 2. th, 5400 Bogense</t>
  </si>
  <si>
    <t>Vestergade 6, st. tv, 5400 Bogense</t>
  </si>
  <si>
    <t>Vestergade 6, st. th, 5400 Bogense</t>
  </si>
  <si>
    <t>Vestergade 6, 1. tv, 5400 Bogense</t>
  </si>
  <si>
    <t>Vestergade 6, 1. th, 5400 Bogense</t>
  </si>
  <si>
    <t>Vestergade 6, 2. tv, 5400 Bogense</t>
  </si>
  <si>
    <t>Vestergade 6, 2. th, 5400 Bogense</t>
  </si>
  <si>
    <t>Vestergade 2, st. th, 5400 Bogense</t>
  </si>
  <si>
    <t>Vestergade 2, 1. tv, 5400 Bogense</t>
  </si>
  <si>
    <t>Vestergade 2, 1. th, 5400 Bogense</t>
  </si>
  <si>
    <t>Vestergade 2, 2. tv, 5400 Bogense</t>
  </si>
  <si>
    <t>Vestergade 2, 2. th, 5400 Bogense</t>
  </si>
  <si>
    <t>Vestergade 4, st. tv, 5400 Bogense</t>
  </si>
  <si>
    <t>Vestergade 4, st. th, 5400 Bogense</t>
  </si>
  <si>
    <t>Vestergade 4, 1. tv, 5400 Bogense</t>
  </si>
  <si>
    <t>Vestergade 2, 5400 Bogense</t>
  </si>
  <si>
    <t>Vestergade 22, 5400 Bogense</t>
  </si>
  <si>
    <t>3d</t>
  </si>
  <si>
    <t>Bognæs 15, 5400 Bogense</t>
  </si>
  <si>
    <t>Bognæs 1, 5400 Bogense</t>
  </si>
  <si>
    <t>Bognæs 11, 5400 Bogense</t>
  </si>
  <si>
    <t>Bognæs 13, 5400 Bogense</t>
  </si>
  <si>
    <t>Bognæs 17, 5400 Bogense</t>
  </si>
  <si>
    <t>Bognæs 19, 5400 Bogense</t>
  </si>
  <si>
    <t>Bognæs 21, 5400 Bogense</t>
  </si>
  <si>
    <t>Bognæs 23, 5400 Bogense</t>
  </si>
  <si>
    <t>Bognæs 25, 5400 Bogense</t>
  </si>
  <si>
    <t>Bognæs 27, 5400 Bogense</t>
  </si>
  <si>
    <t>Bognæs 29, 5400 Bogense</t>
  </si>
  <si>
    <t>Bognæs 3, 5400 Bogense</t>
  </si>
  <si>
    <t>Bognæs 31, 5400 Bogense</t>
  </si>
  <si>
    <t>Bognæs 33, 5400 Bogense</t>
  </si>
  <si>
    <t>Bognæs 35, 5400 Bogense</t>
  </si>
  <si>
    <t>Bognæs 37, 5400 Bogense</t>
  </si>
  <si>
    <t>Bognæs 39, 5400 Bogense</t>
  </si>
  <si>
    <t>Bognæs 41, 5400 Bogense</t>
  </si>
  <si>
    <t>Bognæs 43, 5400 Bogense</t>
  </si>
  <si>
    <t>Bognæs 45, 5400 Bogense</t>
  </si>
  <si>
    <t>Bognæs 47, 5400 Bogense</t>
  </si>
  <si>
    <t>Bognæs 5, 5400 Bogense</t>
  </si>
  <si>
    <t>Bognæs 5A, 5400 Bogense</t>
  </si>
  <si>
    <t>Bognæs 5B, 5400 Bogense</t>
  </si>
  <si>
    <t>Bognæs 7, 5400 Bogense</t>
  </si>
  <si>
    <t>Bognæs 9, 5400 Bogense</t>
  </si>
  <si>
    <t>3e</t>
  </si>
  <si>
    <t>Vestre Engvej 1, 5400 Bogense</t>
  </si>
  <si>
    <t>3f</t>
  </si>
  <si>
    <t>Vestre Engvej 3, 5400 Bogense</t>
  </si>
  <si>
    <t>11d</t>
  </si>
  <si>
    <t>Strandvej 15, 5400 Bogense</t>
  </si>
  <si>
    <t>21b</t>
  </si>
  <si>
    <t>Oslovej 15, 5400 Bogense</t>
  </si>
  <si>
    <t>21c</t>
  </si>
  <si>
    <t>Oslovej 9, 5400 Bogense</t>
  </si>
  <si>
    <t>26a</t>
  </si>
  <si>
    <t>41d</t>
  </si>
  <si>
    <t>Gyldensteensvej 99, 5400 Bogense</t>
  </si>
  <si>
    <t>60</t>
  </si>
  <si>
    <t>Gyldensteensvej 83, 5400 Bogense</t>
  </si>
  <si>
    <t>61b</t>
  </si>
  <si>
    <t>Gyldensteensvej 79A, 5400 Bogense</t>
  </si>
  <si>
    <t>Stegøvej 38, Østerø, 5400 Bogense</t>
  </si>
  <si>
    <t>Gyldensteensvej 85, 5400 Bogense</t>
  </si>
  <si>
    <t>263a</t>
  </si>
  <si>
    <t>Torvet 18, 5400 Bogense</t>
  </si>
  <si>
    <t>86c;83b</t>
  </si>
  <si>
    <t>Adelgade 93A, 5400 Bogense</t>
  </si>
  <si>
    <t>Adelgade 93A, 1. th, 5400 Bogense</t>
  </si>
  <si>
    <t>Adelgade 93A, 1. tv, 5400 Bogense</t>
  </si>
  <si>
    <t>Adelgade 93A, 2., 5400 Bogense</t>
  </si>
  <si>
    <t>Adelgade 93A, st. th, 5400 Bogense</t>
  </si>
  <si>
    <t>Adelgade 93A, st. tv, 5400 Bogense</t>
  </si>
  <si>
    <t>Adelgade 93B, 1. th, 5400 Bogense</t>
  </si>
  <si>
    <t>Adelgade 93B, 1. tv, 5400 Bogense</t>
  </si>
  <si>
    <t>Adelgade 93B, 2., 5400 Bogense</t>
  </si>
  <si>
    <t>Adelgade 93B, st. th, 5400 Bogense</t>
  </si>
  <si>
    <t>Adelgade 93B, st. tv, 5400 Bogense</t>
  </si>
  <si>
    <t>Skovvej 18, 1., 5400 Bogense</t>
  </si>
  <si>
    <t>Skovvej 18, st., 5400 Bogense</t>
  </si>
  <si>
    <t>Skovvej 20, 1., 5400 Bogense</t>
  </si>
  <si>
    <t>Skovvej 20, st., 5400 Bogense</t>
  </si>
  <si>
    <t>Skovvej 22, 1., 5400 Bogense</t>
  </si>
  <si>
    <t>Skovvej 22, st., 5400 Bogense</t>
  </si>
  <si>
    <t>Skovvej 24, 5400 Bogense</t>
  </si>
  <si>
    <t>Skovvej 26A, 1., 5400 Bogense</t>
  </si>
  <si>
    <t>Skovvej 26A, st., 5400 Bogense</t>
  </si>
  <si>
    <t>Skovvej 26B, 1., 5400 Bogense</t>
  </si>
  <si>
    <t>Skovvej 26B, st., 5400 Bogense</t>
  </si>
  <si>
    <t>Skovvej 26C, 5400 Bogense</t>
  </si>
  <si>
    <t>Skovvej 26D, 1. th, 5400 Bogense</t>
  </si>
  <si>
    <t>Skovvej 26D, 1. tv, 5400 Bogense</t>
  </si>
  <si>
    <t>Skovvej 26E, 5400 Bogense</t>
  </si>
  <si>
    <t>Skovvej 26F, 5400 Bogense</t>
  </si>
  <si>
    <t>Skovvej 26G, 5400 Bogense</t>
  </si>
  <si>
    <t>Skovvej 26H, 5400 Bogense</t>
  </si>
  <si>
    <t>Skovvej 26I, 1. th, 5400 Bogense</t>
  </si>
  <si>
    <t>Skovvej 26I, 1. tv, 5400 Bogense</t>
  </si>
  <si>
    <t>Skovvej 26I, st. th, 5400 Bogense</t>
  </si>
  <si>
    <t>Skovvej 26I, st. tv, 5400 Bogense</t>
  </si>
  <si>
    <t>1c</t>
  </si>
  <si>
    <t>Nyhave 10, Nyhave, 5400 Bogense</t>
  </si>
  <si>
    <t>26b;59</t>
  </si>
  <si>
    <t>Fælledvej 53, Harritslev F, 5400 Bogense</t>
  </si>
  <si>
    <t>90a</t>
  </si>
  <si>
    <t>Huggetvej 37, Bogense Mark, 5400 Bogense</t>
  </si>
  <si>
    <t>Huggetvej 37, st. th, Bogense Mark, 5400 Bogense</t>
  </si>
  <si>
    <t>Huggetvej 37, st. tv, Bogense Mark, 5400 Bogense</t>
  </si>
  <si>
    <t>86e;30b</t>
  </si>
  <si>
    <t>Huggetvej 36, Gungerne, 5400 Bogense</t>
  </si>
  <si>
    <t>82b;4u;50d;56;144</t>
  </si>
  <si>
    <t>Stegøvej 126, Store Stegø, 5400 Bogense</t>
  </si>
  <si>
    <t>285i</t>
  </si>
  <si>
    <t>Skovvej 19, 5400 Bogense</t>
  </si>
  <si>
    <t>49b;89;46b;23a;24d;73a;71a</t>
  </si>
  <si>
    <t>Abildrovej 34, Eskilstrup, 5400 Bogense</t>
  </si>
  <si>
    <t>4g;19a;13d;21b;10g;10c</t>
  </si>
  <si>
    <t>Assensvej 35, Kattebjerg, 5400 Bogense</t>
  </si>
  <si>
    <t>118d;118h</t>
  </si>
  <si>
    <t>Gyldensteensvej 66, 5400 Bogense</t>
  </si>
  <si>
    <t>67c</t>
  </si>
  <si>
    <t>Enggade 4, 5400 Bogense</t>
  </si>
  <si>
    <t>2f;36;136b;14b;13b;40c;129b</t>
  </si>
  <si>
    <t>Odensevej 132, 5400 Bogense</t>
  </si>
  <si>
    <t>20b;15m;15i</t>
  </si>
  <si>
    <t>Harritslevvej 13, Grønløkke, 5400 Bogense</t>
  </si>
  <si>
    <t>216</t>
  </si>
  <si>
    <t>Kirkestræde 8, 5400 Bogense</t>
  </si>
  <si>
    <t>4bd</t>
  </si>
  <si>
    <t>Fynsvej 5, 5400 Bogense</t>
  </si>
  <si>
    <t>12b;56a;45g;12f;11d;57;5f;3i;12b</t>
  </si>
  <si>
    <t>Ømosevej 25, Kassemose, 5400 Bogense</t>
  </si>
  <si>
    <t>4be</t>
  </si>
  <si>
    <t>Jyllandsvej 17, 5400 Bogense</t>
  </si>
  <si>
    <t>95a</t>
  </si>
  <si>
    <t>Huggetvej 65, Gungerne, 5400 Bogense</t>
  </si>
  <si>
    <t>39b;38a;35c;34e;31a;30a;95b;63f;41;1c</t>
  </si>
  <si>
    <t>Huggetvej 63, Gungerne, 5400 Bogense</t>
  </si>
  <si>
    <t>281b</t>
  </si>
  <si>
    <t>Skovvej 1, 1. 1, 5400 Bogense</t>
  </si>
  <si>
    <t>Skovvej 1, 1. 2, 5400 Bogense</t>
  </si>
  <si>
    <t>Skovvej 1, 1. 3, 5400 Bogense</t>
  </si>
  <si>
    <t>Skovvej 1, 1. 4, 5400 Bogense</t>
  </si>
  <si>
    <t>Skovvej 1, 1. 5, 5400 Bogense</t>
  </si>
  <si>
    <t>Skovvej 1, 2., 5400 Bogense</t>
  </si>
  <si>
    <t>4an</t>
  </si>
  <si>
    <t>Jyllandsvej 4, 5400 Bogense</t>
  </si>
  <si>
    <t>31an</t>
  </si>
  <si>
    <t>Tværgade 6, 5400 Bogense</t>
  </si>
  <si>
    <t>3g</t>
  </si>
  <si>
    <t>Vestre Engvej 5, 5400 Bogense</t>
  </si>
  <si>
    <t>91e</t>
  </si>
  <si>
    <t>Stavangerparken 5, 5400 Bogense</t>
  </si>
  <si>
    <t>91y</t>
  </si>
  <si>
    <t>Stavangerparken 53, 5400 Bogense</t>
  </si>
  <si>
    <t>Jernbanegade 2E, 1. th, 5400 Bogense</t>
  </si>
  <si>
    <t>Jernbanegade 2E, 1. tv, 5400 Bogense</t>
  </si>
  <si>
    <t>Jernbanegade 2E, 2., 5400 Bogense</t>
  </si>
  <si>
    <t>Jernbanegade 2E, st. th, 5400 Bogense</t>
  </si>
  <si>
    <t>Jernbanegade 2E, st. tv, 5400 Bogense</t>
  </si>
  <si>
    <t>8x;9g;8;9a;8y</t>
  </si>
  <si>
    <t>Guldbjergvej 64, Nordskov, 5400 Bogense</t>
  </si>
  <si>
    <t>91bd</t>
  </si>
  <si>
    <t>Bodøparken 38, 5400 Bogense</t>
  </si>
  <si>
    <t>91be</t>
  </si>
  <si>
    <t>Bodøparken 40, 5400 Bogense</t>
  </si>
  <si>
    <t>91bf</t>
  </si>
  <si>
    <t>Bodøparken 39, 5400 Bogense</t>
  </si>
  <si>
    <t>91bg</t>
  </si>
  <si>
    <t>Bodøparken 37, 5400 Bogense</t>
  </si>
  <si>
    <t>91bh</t>
  </si>
  <si>
    <t>Bodøparken 35, 5400 Bogense</t>
  </si>
  <si>
    <t>53r</t>
  </si>
  <si>
    <t>Adelgade 112, 5400 Bogense</t>
  </si>
  <si>
    <t>Adelgade 112, 1., 5400 Bogense</t>
  </si>
  <si>
    <t>294c</t>
  </si>
  <si>
    <t>Vestre Havnevej 1, 5400 Bogense</t>
  </si>
  <si>
    <t>18d;1s</t>
  </si>
  <si>
    <t>Tornhøj 10, Hugget, 5400 Bogense</t>
  </si>
  <si>
    <t>87c</t>
  </si>
  <si>
    <t>Storkenhøjvej 99, Fogense, 5400 Bogense</t>
  </si>
  <si>
    <t>34c;67b;110a;124a</t>
  </si>
  <si>
    <t>Huggetvej 71, Gungerne, 5400 Bogense</t>
  </si>
  <si>
    <t>5d;10h;3e;35a;36a;127b;4h;29a;3f;26b;12g;93a;70;69a;33;127c</t>
  </si>
  <si>
    <t>Huggetvej 94, Kræmmerkrog, 5400 Bogense</t>
  </si>
  <si>
    <t>5a;10f;13c;3c;42a;42b;3b;8c;12b;9a;8b;7c;9b;4f;6b</t>
  </si>
  <si>
    <t>Storkenhøjvej 83, Fogense, 5400 Bogense</t>
  </si>
  <si>
    <t>42c</t>
  </si>
  <si>
    <t>Storkenhøjvej 81, Fogense, 5400 Bogense</t>
  </si>
  <si>
    <t>196</t>
  </si>
  <si>
    <t>Kirkestræde 24, 5400 Bogense</t>
  </si>
  <si>
    <t>91bi</t>
  </si>
  <si>
    <t>Trondheimparken 1, 5400 Bogense</t>
  </si>
  <si>
    <t>91bk</t>
  </si>
  <si>
    <t>Trondheimparken 3, 5400 Bogense</t>
  </si>
  <si>
    <t>91bl</t>
  </si>
  <si>
    <t>Trondheimparken 5, 5400 Bogense</t>
  </si>
  <si>
    <t>91bm</t>
  </si>
  <si>
    <t>Trondheimparken 7, 5400 Bogense</t>
  </si>
  <si>
    <t>91bn</t>
  </si>
  <si>
    <t>Trondheimparken 9, 5400 Bogense</t>
  </si>
  <si>
    <t>91bo</t>
  </si>
  <si>
    <t>Trondheimparken 11, 5400 Bogense</t>
  </si>
  <si>
    <t>91bp</t>
  </si>
  <si>
    <t>Trondheimparken 13, 5400 Bogense</t>
  </si>
  <si>
    <t>91bq</t>
  </si>
  <si>
    <t>Trondheimparken 15, 5400 Bogense</t>
  </si>
  <si>
    <t>91br</t>
  </si>
  <si>
    <t>Trondheimparken 50, 5400 Bogense</t>
  </si>
  <si>
    <t>1bf</t>
  </si>
  <si>
    <t>Stegøvej 23, 5400 Bogense</t>
  </si>
  <si>
    <t>Storkenhøjvej 145, Fogense Enge, 5400 Bogense</t>
  </si>
  <si>
    <t>119a</t>
  </si>
  <si>
    <t>4bf;4bg</t>
  </si>
  <si>
    <t>Fynsvej 25, 5400 Bogense</t>
  </si>
  <si>
    <t>Gyldensteensvej 6, 5400 Bogense</t>
  </si>
  <si>
    <t>2d</t>
  </si>
  <si>
    <t>Havnefronten 2, st., 5400 Bogense</t>
  </si>
  <si>
    <t>Havnefronten 8, st., 5400 Bogense</t>
  </si>
  <si>
    <t>Havnefronten 8, 1., 5400 Bogense</t>
  </si>
  <si>
    <t>Havnefronten 8, 2., 5400 Bogense</t>
  </si>
  <si>
    <t>Havnefronten 2, 1., 5400 Bogense</t>
  </si>
  <si>
    <t>Havnefronten 2, 2., 5400 Bogense</t>
  </si>
  <si>
    <t>Havnefronten 4, st., 5400 Bogense</t>
  </si>
  <si>
    <t>Havnefronten 4, 1., 5400 Bogense</t>
  </si>
  <si>
    <t>Havnefronten 4, 2., 5400 Bogense</t>
  </si>
  <si>
    <t>Havnefronten 6, st., 5400 Bogense</t>
  </si>
  <si>
    <t>Havnefronten 6, 1., 5400 Bogense</t>
  </si>
  <si>
    <t>Havnefronten 6, 2., 5400 Bogense</t>
  </si>
  <si>
    <t>Havnefronten 2, 5400 Bogense</t>
  </si>
  <si>
    <t>Vestergade 3F, 5400 Bogense</t>
  </si>
  <si>
    <t>29bo</t>
  </si>
  <si>
    <t>Oslovej 40C, 5400 Bogense</t>
  </si>
  <si>
    <t>29bn;29bm</t>
  </si>
  <si>
    <t>Oslovej 40B, 5400 Bogense</t>
  </si>
  <si>
    <t>Gyldensteensvej 80, 5400 Bogense</t>
  </si>
  <si>
    <t>50b;51a;137d;56a</t>
  </si>
  <si>
    <t>Gyldensteensvej 81, 5400 Bogense</t>
  </si>
  <si>
    <t>301</t>
  </si>
  <si>
    <t>Østre Havnevej 2, 5400 Bogense</t>
  </si>
  <si>
    <t>87b;14e;87a</t>
  </si>
  <si>
    <t>Storkenhøjvej 101, Fogense, 5400 Bogense</t>
  </si>
  <si>
    <t>Bag Bognæs 10, 5400 Bogense</t>
  </si>
  <si>
    <t>Bag Bognæs 12, 5400 Bogense</t>
  </si>
  <si>
    <t>Bag Bognæs 14, 5400 Bogense</t>
  </si>
  <si>
    <t>Bag Bognæs 16, 5400 Bogense</t>
  </si>
  <si>
    <t>Bag Bognæs 18, 5400 Bogense</t>
  </si>
  <si>
    <t>Bag Bognæs 20, 1., 5400 Bogense</t>
  </si>
  <si>
    <t>Bag Bognæs 20, st., 5400 Bogense</t>
  </si>
  <si>
    <t>Bag Bognæs 22, 1., 5400 Bogense</t>
  </si>
  <si>
    <t>Bag Bognæs 22, st., 5400 Bogense</t>
  </si>
  <si>
    <t>Bag Bognæs 24, 5400 Bogense</t>
  </si>
  <si>
    <t>Bag Bognæs 26, 5400 Bogense</t>
  </si>
  <si>
    <t>Bag Bognæs 28, 5400 Bogense</t>
  </si>
  <si>
    <t>Bag Bognæs 30, 5400 Bogense</t>
  </si>
  <si>
    <t>Bag Bognæs 32, 5400 Bogense</t>
  </si>
  <si>
    <t>Bag Bognæs 34, 5400 Bogense</t>
  </si>
  <si>
    <t>Bag Bognæs 36, 5400 Bogense</t>
  </si>
  <si>
    <t>Bag Bognæs 38, 5400 Bogense</t>
  </si>
  <si>
    <t>Bag Bognæs 40, 5400 Bogense</t>
  </si>
  <si>
    <t>Bag Bognæs 42, 5400 Bogense</t>
  </si>
  <si>
    <t>Bag Bognæs 44, 1., 5400 Bogense</t>
  </si>
  <si>
    <t>Bag Bognæs 44, st., 5400 Bogense</t>
  </si>
  <si>
    <t>Bag Bognæs 46, 1., 5400 Bogense</t>
  </si>
  <si>
    <t>Bag Bognæs 46, st., 5400 Bogense</t>
  </si>
  <si>
    <t>Bag Bognæs 48, 5400 Bogense</t>
  </si>
  <si>
    <t>Bag Bognæs 50, 5400 Bogense</t>
  </si>
  <si>
    <t>Bag Bognæs 52, 5400 Bogense</t>
  </si>
  <si>
    <t>Bag Bognæs 54, 5400 Bogense</t>
  </si>
  <si>
    <t>Bag Bognæs 56, 5400 Bogense</t>
  </si>
  <si>
    <t>145n</t>
  </si>
  <si>
    <t>Vestre Engvej 7, 5400 Bogense</t>
  </si>
  <si>
    <t>1;17a;14a;11q;4a;6f</t>
  </si>
  <si>
    <t>Skårupvej 2, Skårup, 5400 Bogense</t>
  </si>
  <si>
    <t>Storkenhøjvej 153, Fogense Enge, 5400 Bogense</t>
  </si>
  <si>
    <t>133g</t>
  </si>
  <si>
    <t>Huggetvej 18B, 5400 Bogense</t>
  </si>
  <si>
    <t>133h</t>
  </si>
  <si>
    <t>Huggetvej 10A, 5400 Bogense</t>
  </si>
  <si>
    <t>Huggetvej 10B, 5400 Bogense</t>
  </si>
  <si>
    <t>Huggetvej 12A, 5400 Bogense</t>
  </si>
  <si>
    <t>Huggetvej 12B, 5400 Bogense</t>
  </si>
  <si>
    <t>Huggetvej 14A, 5400 Bogense</t>
  </si>
  <si>
    <t>Huggetvej 14B, 5400 Bogense</t>
  </si>
  <si>
    <t>Huggetvej 16A, 5400 Bogense</t>
  </si>
  <si>
    <t>Huggetvej 16B, 5400 Bogense</t>
  </si>
  <si>
    <t>133a</t>
  </si>
  <si>
    <t>Huggetvej 18, 5400 Bogense</t>
  </si>
  <si>
    <t>67</t>
  </si>
  <si>
    <t>Oslovej 43, 5400 Bogense</t>
  </si>
  <si>
    <t>68</t>
  </si>
  <si>
    <t>Oslovej 49, 5400 Bogense</t>
  </si>
  <si>
    <t>69</t>
  </si>
  <si>
    <t>Oslovej 51, 5400 Bogense</t>
  </si>
  <si>
    <t>70</t>
  </si>
  <si>
    <t>Oslovej 53, 5400 Bogense</t>
  </si>
  <si>
    <t>Oslovej 45, 5400 Bogense</t>
  </si>
  <si>
    <t>Oslovej 47, 5400 Bogense</t>
  </si>
  <si>
    <t>28as;28ar</t>
  </si>
  <si>
    <t>Skovvej 69B, 5400 Bogense</t>
  </si>
  <si>
    <t>28b</t>
  </si>
  <si>
    <t>Skovvej 69A, 5400 Bogense</t>
  </si>
  <si>
    <t>12a;12e;3g</t>
  </si>
  <si>
    <t>Guldbjergvej 68, Smidstrup, 5400 Bogense</t>
  </si>
  <si>
    <t>10c;1f;8d;1b;3f;1c;1e</t>
  </si>
  <si>
    <t>Langegyde 31, Kræmmerkrog, 5400 Bogense</t>
  </si>
  <si>
    <t>45b;44d;48b;48a;48g;44c;45a;32a</t>
  </si>
  <si>
    <t>Donnervej 8, Skovby Nymark, 5400 Bogense</t>
  </si>
  <si>
    <t>Kristianslundsvej 2, 5400 Bogense</t>
  </si>
  <si>
    <t>13a</t>
  </si>
  <si>
    <t>Kristianslundsvej 22, Damstedet, 5400 Bogense</t>
  </si>
  <si>
    <t>41a;74;24d;24a;84</t>
  </si>
  <si>
    <t>Klemstrup 3, Eskilstrup, 5400 Bogense</t>
  </si>
  <si>
    <t>33d</t>
  </si>
  <si>
    <t>Hotelpassagen 2, 5400 Bogense</t>
  </si>
  <si>
    <t>Vandværksvej 1, 5400 Bogense</t>
  </si>
  <si>
    <t>Vandværksvej 3, 1. 1, 5400 Bogense</t>
  </si>
  <si>
    <t>Vandværksvej 3, 1. 2, 5400 Bogense</t>
  </si>
  <si>
    <t>Vandværksvej 3, 1. 3, 5400 Bogense</t>
  </si>
  <si>
    <t>Vandværksvej 5, 5400 Bogense</t>
  </si>
  <si>
    <t>Vestergade 25B, 5400 Bogense</t>
  </si>
  <si>
    <t>42a;42b</t>
  </si>
  <si>
    <t>Adelgade 74, 5400 Bogense</t>
  </si>
  <si>
    <t>255a;255c</t>
  </si>
  <si>
    <t>Torvet 32B, 5400 Bogense</t>
  </si>
  <si>
    <t>1b;1bp</t>
  </si>
  <si>
    <t>9b</t>
  </si>
  <si>
    <t>Gyldensteensvej 24, 5400 Bogense</t>
  </si>
  <si>
    <t>Poppelvej 4, 5400 Bogense</t>
  </si>
  <si>
    <t>Poppelvej 6, 5400 Bogense</t>
  </si>
  <si>
    <t>24cy;24cx;24f</t>
  </si>
  <si>
    <t>Gyvelvænget 12B, 5400 Bogense</t>
  </si>
  <si>
    <t>24an;24cz</t>
  </si>
  <si>
    <t>Ahornvej 14, 5400 Bogense</t>
  </si>
  <si>
    <t>Ahornvej 16, 5400 Bogense</t>
  </si>
  <si>
    <t>Ahornvej 18, 5400 Bogense</t>
  </si>
  <si>
    <t>Ahornvej 20, 5400 Bogense</t>
  </si>
  <si>
    <t>Ahornvej 22, 5400 Bogense</t>
  </si>
  <si>
    <t>Ahornvej 24, 5400 Bogense</t>
  </si>
  <si>
    <t>Ahornvej 26, 5400 Bogense</t>
  </si>
  <si>
    <t>Ahornvej 28, 5400 Bogense</t>
  </si>
  <si>
    <t>Ahornvej 30, 5400 Bogense</t>
  </si>
  <si>
    <t>Ahornvej 32, 5400 Bogense</t>
  </si>
  <si>
    <t>Ahornvej 34, 5400 Bogense</t>
  </si>
  <si>
    <t>Birkevej 11, 5400 Bogense</t>
  </si>
  <si>
    <t>Birkevej 13, 5400 Bogense</t>
  </si>
  <si>
    <t>Birkevej 15, 5400 Bogense</t>
  </si>
  <si>
    <t>Birkevej 17, 5400 Bogense</t>
  </si>
  <si>
    <t>Platanvej 19, 5400 Bogense</t>
  </si>
  <si>
    <t>Platanvej 21, 5400 Bogense</t>
  </si>
  <si>
    <t>Platanvej 23, 5400 Bogense</t>
  </si>
  <si>
    <t>Platanvej 25, 5400 Bogense</t>
  </si>
  <si>
    <t>Platanvej 27, 5400 Bogense</t>
  </si>
  <si>
    <t>24ap;24cæ;24db;24da;24cø</t>
  </si>
  <si>
    <t>29bq;29d;29bp</t>
  </si>
  <si>
    <t>Svelvikparken 24, 5400 Bogense</t>
  </si>
  <si>
    <t>37a;63m;38e;63a</t>
  </si>
  <si>
    <t>Storkenhøjvej 73, Fogense, 5400 Bogense</t>
  </si>
  <si>
    <t>Storkenhøjvej 73A, Fogense, 5400 Bogense</t>
  </si>
  <si>
    <t>Storkenhøjvej 73B, Fogense, 5400 Bogense</t>
  </si>
  <si>
    <t>14c;63b;63n;63o;16a</t>
  </si>
  <si>
    <t>Storkenhøjvej 97A, Fogense, 5400 Bogense</t>
  </si>
  <si>
    <t>Storkenhøjvej 97B, Fogense, 5400 Bogense</t>
  </si>
  <si>
    <t>63c;11a;63q;63p</t>
  </si>
  <si>
    <t>Storkenhøjvej 93, Fogense, 5400 Bogense</t>
  </si>
  <si>
    <t>63r;63d;37a;25c;63s</t>
  </si>
  <si>
    <t>Storkenhøjvej 85, Fogense, 5400 Bogense</t>
  </si>
  <si>
    <t>63e;63u;63t</t>
  </si>
  <si>
    <t>Storkenhøjvej 79, Fogense, 5400 Bogense</t>
  </si>
  <si>
    <t>151e;151d;151c;151b;151a</t>
  </si>
  <si>
    <t>153c;153a</t>
  </si>
  <si>
    <t>Industrivej 3, Almindehuse, 5400 Bogense</t>
  </si>
  <si>
    <t>15c;61c;61a;2h;7g</t>
  </si>
  <si>
    <t>Fælledvej 44, Harritslev F, 5400 Bogense</t>
  </si>
  <si>
    <t>64b;64a</t>
  </si>
  <si>
    <t>Vestre Engvej 140, 5400 Bogense</t>
  </si>
  <si>
    <t>7000aq</t>
  </si>
  <si>
    <t>7000ar</t>
  </si>
  <si>
    <t>7000as</t>
  </si>
  <si>
    <t>7000at</t>
  </si>
  <si>
    <t>7000au</t>
  </si>
  <si>
    <t>7000av</t>
  </si>
  <si>
    <t>7000ax</t>
  </si>
  <si>
    <t>7000ay</t>
  </si>
  <si>
    <t>21c;29a</t>
  </si>
  <si>
    <t>Huggetvej 130, Skovby Nymark, 5400 Bogense</t>
  </si>
  <si>
    <t>91bt</t>
  </si>
  <si>
    <t>Trondheimparken 2, 5400 Bogense</t>
  </si>
  <si>
    <t>91bu</t>
  </si>
  <si>
    <t>Trondheimparken 4, 5400 Bogense</t>
  </si>
  <si>
    <t>91bv</t>
  </si>
  <si>
    <t>Trondheimparken 6, 5400 Bogense</t>
  </si>
  <si>
    <t>91by</t>
  </si>
  <si>
    <t>Trondheimparken 10, 5400 Bogense</t>
  </si>
  <si>
    <t>91bz</t>
  </si>
  <si>
    <t>Trondheimparken 42, 5400 Bogense</t>
  </si>
  <si>
    <t>91bæ</t>
  </si>
  <si>
    <t>Trondheimparken 44, 5400 Bogense</t>
  </si>
  <si>
    <t>91bø</t>
  </si>
  <si>
    <t>Trondheimparken 46, 5400 Bogense</t>
  </si>
  <si>
    <t>91ca</t>
  </si>
  <si>
    <t>Trondheimparken 48, 5400 Bogense</t>
  </si>
  <si>
    <t>58s</t>
  </si>
  <si>
    <t>Kongsbergparken 1A, 5400 Bogense</t>
  </si>
  <si>
    <t>Kongsbergparken 1B, 5400 Bogense</t>
  </si>
  <si>
    <t>Kongsbergparken 1C, 5400 Bogense</t>
  </si>
  <si>
    <t>Kongsbergparken 1D, 5400 Bogense</t>
  </si>
  <si>
    <t>Kongsbergparken 1E, 5400 Bogense</t>
  </si>
  <si>
    <t>Kongsbergparken 1F, 5400 Bogense</t>
  </si>
  <si>
    <t>Kongsbergparken 1G, 5400 Bogense</t>
  </si>
  <si>
    <t>Kongsbergparken 1H, 5400 Bogense</t>
  </si>
  <si>
    <t>Kongsbergparken 1K, 5400 Bogense</t>
  </si>
  <si>
    <t>Kongsbergparken 1L, 5400 Bogense</t>
  </si>
  <si>
    <t>Kongsbergparken 1M, 5400 Bogense</t>
  </si>
  <si>
    <t>58t</t>
  </si>
  <si>
    <t>Kongsbergparken 3A, 5400 Bogense</t>
  </si>
  <si>
    <t>Kongsbergparken 3B, 5400 Bogense</t>
  </si>
  <si>
    <t>Kongsbergparken 3C, 5400 Bogense</t>
  </si>
  <si>
    <t>Kongsbergparken 3D, 5400 Bogense</t>
  </si>
  <si>
    <t>Kongsbergparken 3E, 5400 Bogense</t>
  </si>
  <si>
    <t>Kongsbergparken 3F, 5400 Bogense</t>
  </si>
  <si>
    <t>Kongsbergparken 3G, 5400 Bogense</t>
  </si>
  <si>
    <t>Kongsbergparken 3H, 5400 Bogense</t>
  </si>
  <si>
    <t>168</t>
  </si>
  <si>
    <t>Kongsbergparken 2A, 5400 Bogense</t>
  </si>
  <si>
    <t>Kongsbergparken 10A, 5400 Bogense</t>
  </si>
  <si>
    <t>Kongsbergparken 10B, 5400 Bogense</t>
  </si>
  <si>
    <t>Kongsbergparken 10C, 5400 Bogense</t>
  </si>
  <si>
    <t>Kongsbergparken 10D, 5400 Bogense</t>
  </si>
  <si>
    <t>Kongsbergparken 10E, 5400 Bogense</t>
  </si>
  <si>
    <t>Kongsbergparken 2B, 5400 Bogense</t>
  </si>
  <si>
    <t>Kongsbergparken 2C, 5400 Bogense</t>
  </si>
  <si>
    <t>Kongsbergparken 2D, 5400 Bogense</t>
  </si>
  <si>
    <t>Kongsbergparken 2E, 5400 Bogense</t>
  </si>
  <si>
    <t>Kongsbergparken 4A, 5400 Bogense</t>
  </si>
  <si>
    <t>Kongsbergparken 4B, 5400 Bogense</t>
  </si>
  <si>
    <t>Kongsbergparken 4C, 5400 Bogense</t>
  </si>
  <si>
    <t>Kongsbergparken 4D, 5400 Bogense</t>
  </si>
  <si>
    <t>Kongsbergparken 4E, 5400 Bogense</t>
  </si>
  <si>
    <t>Kongsbergparken 4F, 5400 Bogense</t>
  </si>
  <si>
    <t>Kongsbergparken 4G, 5400 Bogense</t>
  </si>
  <si>
    <t>Kongsbergparken 4H, 5400 Bogense</t>
  </si>
  <si>
    <t>Kongsbergparken 6A, 5400 Bogense</t>
  </si>
  <si>
    <t>Kongsbergparken 6B, 5400 Bogense</t>
  </si>
  <si>
    <t>Kongsbergparken 6C, 5400 Bogense</t>
  </si>
  <si>
    <t>Kongsbergparken 6D, 5400 Bogense</t>
  </si>
  <si>
    <t>Kongsbergparken 6E, 5400 Bogense</t>
  </si>
  <si>
    <t>Kongsbergparken 6F, 5400 Bogense</t>
  </si>
  <si>
    <t>Kongsbergparken 6G, 5400 Bogense</t>
  </si>
  <si>
    <t>Kongsbergparken 8A, 5400 Bogense</t>
  </si>
  <si>
    <t>Kongsbergparken 8B, 5400 Bogense</t>
  </si>
  <si>
    <t>Kongsbergparken 8C, 5400 Bogense</t>
  </si>
  <si>
    <t>Kongsbergparken 8D, 5400 Bogense</t>
  </si>
  <si>
    <t>Kongsbergparken 8E, 5400 Bogense</t>
  </si>
  <si>
    <t>Kongsbergparken 8F, 5400 Bogense</t>
  </si>
  <si>
    <t>58f</t>
  </si>
  <si>
    <t>21e;7e;26c;23f;20f;2k;2i;17c;12h;8b;58;55a;1t;32a;3m;51b;50c;2l</t>
  </si>
  <si>
    <t>Hornskovvej 2, Harritslev F, 5400 Bogense</t>
  </si>
  <si>
    <t>12fi</t>
  </si>
  <si>
    <t>Mejerivej 14, 5400 Bogense</t>
  </si>
  <si>
    <t>1g;1i;1al;1ai</t>
  </si>
  <si>
    <t>Kristianslundsvej 3, Dammene, 5400 Bogense</t>
  </si>
  <si>
    <t>145o</t>
  </si>
  <si>
    <t>Abildvej 3, 5400 Bogense</t>
  </si>
  <si>
    <t>11a;41c</t>
  </si>
  <si>
    <t>Bogmose 17, Eskilstrup, 5400 Bogense</t>
  </si>
  <si>
    <t>169</t>
  </si>
  <si>
    <t>Trondheimparken 12, 5400 Bogense</t>
  </si>
  <si>
    <t>170</t>
  </si>
  <si>
    <t>Trondheimparken 40, 5400 Bogense</t>
  </si>
  <si>
    <t>1bq</t>
  </si>
  <si>
    <t>Trondheimparken 14, 5400 Bogense</t>
  </si>
  <si>
    <t>1br</t>
  </si>
  <si>
    <t>Trondheimparken 18, 5400 Bogense</t>
  </si>
  <si>
    <t>1bs</t>
  </si>
  <si>
    <t>Trondheimparken 20, 5400 Bogense</t>
  </si>
  <si>
    <t>1bt</t>
  </si>
  <si>
    <t>Trondheimparken 22, 5400 Bogense</t>
  </si>
  <si>
    <t>1bu</t>
  </si>
  <si>
    <t>Trondheimparken 24, 5400 Bogense</t>
  </si>
  <si>
    <t>1bv</t>
  </si>
  <si>
    <t>Trondheimparken 26, 5400 Bogense</t>
  </si>
  <si>
    <t>1bx</t>
  </si>
  <si>
    <t>Trondheimparken 28, 5400 Bogense</t>
  </si>
  <si>
    <t>1by</t>
  </si>
  <si>
    <t>Trondheimparken 30, 5400 Bogense</t>
  </si>
  <si>
    <t>1bz</t>
  </si>
  <si>
    <t>Trondheimparken 32, 5400 Bogense</t>
  </si>
  <si>
    <t>1bæ</t>
  </si>
  <si>
    <t>Trondheimparken 34, 5400 Bogense</t>
  </si>
  <si>
    <t>1bø</t>
  </si>
  <si>
    <t>Trondheimparken 36, 5400 Bogense</t>
  </si>
  <si>
    <t>1ca</t>
  </si>
  <si>
    <t>Trondheimparken 38, 5400 Bogense</t>
  </si>
  <si>
    <t>12fk</t>
  </si>
  <si>
    <t>Skovbrovej 11, 5400 Bogense</t>
  </si>
  <si>
    <t>4bh</t>
  </si>
  <si>
    <t>Sjællandsvej 4, 5400 Bogense</t>
  </si>
  <si>
    <t>4bi</t>
  </si>
  <si>
    <t>Jyllandsvej 8, 5400 Bogense</t>
  </si>
  <si>
    <t>Vestre Engvej 2, 5400 Bogense</t>
  </si>
  <si>
    <t>Vestre Engvej 34A, 5400 Bogense</t>
  </si>
  <si>
    <t>Vestre Engvej 100, 5400 Bogense</t>
  </si>
  <si>
    <t>Vestergade 16A, 5400 Bogense</t>
  </si>
  <si>
    <t>Vestergade 16B, 5400 Bogense</t>
  </si>
  <si>
    <t>Vestergade 18, 5400 Bogense</t>
  </si>
  <si>
    <t>18n</t>
  </si>
  <si>
    <t>4bk</t>
  </si>
  <si>
    <t>Jyllandsvej 19, 5400 Bogense</t>
  </si>
  <si>
    <t>91cc</t>
  </si>
  <si>
    <t>Bodøparken 16, 5400 Bogense</t>
  </si>
  <si>
    <t>91cd</t>
  </si>
  <si>
    <t>Bodøparken 18, 5400 Bogense</t>
  </si>
  <si>
    <t>91ce</t>
  </si>
  <si>
    <t>Bodøparken 20, 5400 Bogense</t>
  </si>
  <si>
    <t>91cf</t>
  </si>
  <si>
    <t>Bodøparken 22, 5400 Bogense</t>
  </si>
  <si>
    <t>91cg</t>
  </si>
  <si>
    <t>Bodøparken 24, 5400 Bogense</t>
  </si>
  <si>
    <t>91ch</t>
  </si>
  <si>
    <t>Bodøparken 26, 5400 Bogense</t>
  </si>
  <si>
    <t>91ci</t>
  </si>
  <si>
    <t>Bodøparken 28, 5400 Bogense</t>
  </si>
  <si>
    <t>91ck</t>
  </si>
  <si>
    <t>Bodøparken 30, 5400 Bogense</t>
  </si>
  <si>
    <t>91cl</t>
  </si>
  <si>
    <t>Bodøparken 32, 5400 Bogense</t>
  </si>
  <si>
    <t>20f;6a;13e;2;20e;50a;4d;3a;1;11f;20h;15a;7c;6o;12g;14b;5f;12f;39a;63c</t>
  </si>
  <si>
    <t>Ømosevej 17, Kassemose, 5400 Bogense</t>
  </si>
  <si>
    <t>Oslovej 39, 5400 Bogense</t>
  </si>
  <si>
    <t>Oslovej 41, 5400 Bogense</t>
  </si>
  <si>
    <t>Oslovej 35, 5400 Bogense</t>
  </si>
  <si>
    <t>Oslovej 37, 5400 Bogense</t>
  </si>
  <si>
    <t>Oslovej 33, 5400 Bogense</t>
  </si>
  <si>
    <t>Oslovej 31, 5400 Bogense</t>
  </si>
  <si>
    <t>3p;3o;3æ;3l;3n;3m;3ø</t>
  </si>
  <si>
    <t>Vestergade 24, 5400 Bogense</t>
  </si>
  <si>
    <t>3aa</t>
  </si>
  <si>
    <t>Vestre Engvej 127, st. tv, 5400 Bogense</t>
  </si>
  <si>
    <t>Vestre Engvej 127, 1. tv, 5400 Bogense</t>
  </si>
  <si>
    <t>Vestre Engvej 127, 1. th, 5400 Bogense</t>
  </si>
  <si>
    <t>Vestre Engvej 127, 5400 Bogense</t>
  </si>
  <si>
    <t>Huggetvej 21, 5400 Bogense</t>
  </si>
  <si>
    <t>1v;1b;1a;2i;1g;1u;1i</t>
  </si>
  <si>
    <t>Kirkemosevej 2, Nr Sandager, 5400 Bogense</t>
  </si>
  <si>
    <t>2p</t>
  </si>
  <si>
    <t>Kristianslundsvej 17, Kristianslund, 5400 Bogense</t>
  </si>
  <si>
    <t>2a;34;2k</t>
  </si>
  <si>
    <t>Kristianslundsvej 15A, Kristianslund, 5400 Bogense</t>
  </si>
  <si>
    <t>66b</t>
  </si>
  <si>
    <t>Huggetvej 31, Bogense Mark, 5400 Bogense</t>
  </si>
  <si>
    <t>1l;1d;1t;1q;1a;1s;1e;1ak;1e;1u;1c;1m;1æ;2e;1k;2l;1a;1p;33a;1x;1h;1f;1a;1z;1r;1y;1n;22c;1e;1b;1v</t>
  </si>
  <si>
    <t>Burskovvej 1, Gyldensteen, 5400 Bogense</t>
  </si>
  <si>
    <t>3ab</t>
  </si>
  <si>
    <t>Vestre Engvej 128, st. tv, 5400 Bogense</t>
  </si>
  <si>
    <t>Vestre Engvej 130, 1. tv, 5400 Bogense</t>
  </si>
  <si>
    <t>Vestre Engvej 130, 1. th, 5400 Bogense</t>
  </si>
  <si>
    <t>Vestre Engvej 128, st. th, 5400 Bogense</t>
  </si>
  <si>
    <t>Vestre Engvej 128, 1. tv, 5400 Bogense</t>
  </si>
  <si>
    <t>Vestre Engvej 128, 1. th, 5400 Bogense</t>
  </si>
  <si>
    <t>Vestre Engvej 129, st. tv, 5400 Bogense</t>
  </si>
  <si>
    <t>Vestre Engvej 129, st. th, 5400 Bogense</t>
  </si>
  <si>
    <t>Vestre Engvej 129, 1. tv, 5400 Bogense</t>
  </si>
  <si>
    <t>Vestre Engvej 129, 1. th, 5400 Bogense</t>
  </si>
  <si>
    <t>Vestre Engvej 130, st. tv, 5400 Bogense</t>
  </si>
  <si>
    <t>Vestre Engvej 128, 5400 Bogense</t>
  </si>
  <si>
    <t>101m</t>
  </si>
  <si>
    <t>Gyldensteensvej 65, 5400 Bogense</t>
  </si>
  <si>
    <t>4bl</t>
  </si>
  <si>
    <t>Fynsvej 9, 5400 Bogense</t>
  </si>
  <si>
    <t>4bm</t>
  </si>
  <si>
    <t>Fynsvej 7, 5400 Bogense</t>
  </si>
  <si>
    <t>3ac</t>
  </si>
  <si>
    <t>Vestre Engvej 125, st. tv, 5400 Bogense</t>
  </si>
  <si>
    <t>Vestre Engvej 125, st. th, 5400 Bogense</t>
  </si>
  <si>
    <t>Vestre Engvej 125, 1. tv, 5400 Bogense</t>
  </si>
  <si>
    <t>Vestre Engvej 125, 1. th, 5400 Bogense</t>
  </si>
  <si>
    <t>Vestre Engvej 126, st. tv, 5400 Bogense</t>
  </si>
  <si>
    <t>Vestre Engvej 126, st. th, 5400 Bogense</t>
  </si>
  <si>
    <t>Vestre Engvej 126, 1. tv, 5400 Bogense</t>
  </si>
  <si>
    <t>Vestre Engvej 126, 1. th, 5400 Bogense</t>
  </si>
  <si>
    <t>Vestre Engvej 125, 5400 Bogense</t>
  </si>
  <si>
    <t>Vestre Engvej 122, st. tv, 5400 Bogense</t>
  </si>
  <si>
    <t>Vestre Engvej 124, 1. tv, 5400 Bogense</t>
  </si>
  <si>
    <t>Vestre Engvej 124, 1. th, 5400 Bogense</t>
  </si>
  <si>
    <t>Vestre Engvej 122, 1. tv, 5400 Bogense</t>
  </si>
  <si>
    <t>Vestre Engvej 122, 1. th, 5400 Bogense</t>
  </si>
  <si>
    <t>Vestre Engvej 123, st. tv, 5400 Bogense</t>
  </si>
  <si>
    <t>Vestre Engvej 123, st. th, 5400 Bogense</t>
  </si>
  <si>
    <t>Vestre Engvej 123, 1. tv, 5400 Bogense</t>
  </si>
  <si>
    <t>Vestre Engvej 123, 1. th, 5400 Bogense</t>
  </si>
  <si>
    <t>Vestre Engvej 124, st. tv, 5400 Bogense</t>
  </si>
  <si>
    <t>Vestre Engvej 124, st. th, 5400 Bogense</t>
  </si>
  <si>
    <t>Vestre Engvej 122, 5400 Bogense</t>
  </si>
  <si>
    <t>3ae</t>
  </si>
  <si>
    <t>Vestre Engvej 119, st. tv, 5400 Bogense</t>
  </si>
  <si>
    <t>Vestre Engvej 121, st. th, 5400 Bogense</t>
  </si>
  <si>
    <t>Vestre Engvej 121, 1. tv, 5400 Bogense</t>
  </si>
  <si>
    <t>Vestre Engvej 121, 1. th, 5400 Bogense</t>
  </si>
  <si>
    <t>Vestre Engvej 119, st. th, 5400 Bogense</t>
  </si>
  <si>
    <t>Vestre Engvej 119, 1. tv, 5400 Bogense</t>
  </si>
  <si>
    <t>Vestre Engvej 119, 1. th, 5400 Bogense</t>
  </si>
  <si>
    <t>Vestre Engvej 120, st. tv, 5400 Bogense</t>
  </si>
  <si>
    <t>Vestre Engvej 120, st. th, 5400 Bogense</t>
  </si>
  <si>
    <t>Vestre Engvej 120, 1. tv, 5400 Bogense</t>
  </si>
  <si>
    <t>Vestre Engvej 120, 1. th, 5400 Bogense</t>
  </si>
  <si>
    <t>Vestre Engvej 121, st. tv, 5400 Bogense</t>
  </si>
  <si>
    <t>Vestre Engvej 119, 5400 Bogense</t>
  </si>
  <si>
    <t>3af</t>
  </si>
  <si>
    <t>Vestre Engvej 116, st. tv, 5400 Bogense</t>
  </si>
  <si>
    <t>Vestre Engvej 118, 1. th, 5400 Bogense</t>
  </si>
  <si>
    <t>Vestre Engvej 116, 1. tv, 5400 Bogense</t>
  </si>
  <si>
    <t>Vestre Engvej 116, 1. th, 5400 Bogense</t>
  </si>
  <si>
    <t>Vestre Engvej 117, st. tv, 5400 Bogense</t>
  </si>
  <si>
    <t>Vestre Engvej 117, st. th, 5400 Bogense</t>
  </si>
  <si>
    <t>Vestre Engvej 117, 1. tv, 5400 Bogense</t>
  </si>
  <si>
    <t>Vestre Engvej 117, 1. th, 5400 Bogense</t>
  </si>
  <si>
    <t>Vestre Engvej 118, st. tv, 5400 Bogense</t>
  </si>
  <si>
    <t>Vestre Engvej 118, 1. tv, 5400 Bogense</t>
  </si>
  <si>
    <t>Vestre Engvej 116, 5400 Bogense</t>
  </si>
  <si>
    <t>Vestre Engvej 110, st. tv, 5400 Bogense</t>
  </si>
  <si>
    <t>Vestre Engvej 112, 1. tv, 5400 Bogense</t>
  </si>
  <si>
    <t>Vestre Engvej 112, 1. th, 5400 Bogense</t>
  </si>
  <si>
    <t>Vestre Engvej 113, st. tv, 5400 Bogense</t>
  </si>
  <si>
    <t>Vestre Engvej 113, st. th, 5400 Bogense</t>
  </si>
  <si>
    <t>Vestre Engvej 113, 1. tv, 5400 Bogense</t>
  </si>
  <si>
    <t>Vestre Engvej 113, 1. th, 5400 Bogense</t>
  </si>
  <si>
    <t>Vestre Engvej 110, st. th, 5400 Bogense</t>
  </si>
  <si>
    <t>Vestre Engvej 110, 1. tv, 5400 Bogense</t>
  </si>
  <si>
    <t>Vestre Engvej 110, 1. th, 5400 Bogense</t>
  </si>
  <si>
    <t>Vestre Engvej 111, st. tv, 5400 Bogense</t>
  </si>
  <si>
    <t>Vestre Engvej 111, 1. tv, 5400 Bogense</t>
  </si>
  <si>
    <t>Vestre Engvej 111, 1. th, 5400 Bogense</t>
  </si>
  <si>
    <t>Vestre Engvej 112, st. tv, 5400 Bogense</t>
  </si>
  <si>
    <t>Vestre Engvej 112, st. th, 5400 Bogense</t>
  </si>
  <si>
    <t>Vestre Engvej 110, 5400 Bogense</t>
  </si>
  <si>
    <t>Vestre Engvej 114, st. tv, 5400 Bogense</t>
  </si>
  <si>
    <t>Vestre Engvej 114, 1. tv, 5400 Bogense</t>
  </si>
  <si>
    <t>Vestre Engvej 114, 1. th, 5400 Bogense</t>
  </si>
  <si>
    <t>Vestre Engvej 115, st. tv, 5400 Bogense</t>
  </si>
  <si>
    <t>Vestre Engvej 115, st. th, 5400 Bogense</t>
  </si>
  <si>
    <t>Vestre Engvej 115, 1. tv, 5400 Bogense</t>
  </si>
  <si>
    <t>Vestre Engvej 115, 1. th, 5400 Bogense</t>
  </si>
  <si>
    <t>Vestre Engvej 114, 5400 Bogense</t>
  </si>
  <si>
    <t>Vestre Engvej 106, st. tv, 5400 Bogense</t>
  </si>
  <si>
    <t>Vestre Engvej 106, 1. tv, 5400 Bogense</t>
  </si>
  <si>
    <t>Vestre Engvej 106, 1. th, 5400 Bogense</t>
  </si>
  <si>
    <t>Vestre Engvej 107, st. tv, 5400 Bogense</t>
  </si>
  <si>
    <t>Vestre Engvej 107, st. th, 5400 Bogense</t>
  </si>
  <si>
    <t>Vestre Engvej 107, 1. tv, 5400 Bogense</t>
  </si>
  <si>
    <t>Vestre Engvej 107, 1. th, 5400 Bogense</t>
  </si>
  <si>
    <t>Vestre Engvej 106, 5400 Bogense</t>
  </si>
  <si>
    <t>Vestre Engvej 108, st. th, 5400 Bogense</t>
  </si>
  <si>
    <t>Vestre Engvej 108, 1. tv, 5400 Bogense</t>
  </si>
  <si>
    <t>Vestre Engvej 108, 1. th, 5400 Bogense</t>
  </si>
  <si>
    <t>Vestre Engvej 109, st. tv, 5400 Bogense</t>
  </si>
  <si>
    <t>Vestre Engvej 109, st. th, 5400 Bogense</t>
  </si>
  <si>
    <t>Vestre Engvej 109, 1. tv, 5400 Bogense</t>
  </si>
  <si>
    <t>Vestre Engvej 109, 1. th, 5400 Bogense</t>
  </si>
  <si>
    <t>Vestre Engvej 108, 5400 Bogense</t>
  </si>
  <si>
    <t>3al</t>
  </si>
  <si>
    <t>Vestre Engvej 104, st. tv, 5400 Bogense</t>
  </si>
  <si>
    <t>Vestre Engvej 104, st. th, 5400 Bogense</t>
  </si>
  <si>
    <t>Vestre Engvej 104, 1. tv, 5400 Bogense</t>
  </si>
  <si>
    <t>Vestre Engvej 104, 1. th, 5400 Bogense</t>
  </si>
  <si>
    <t>Vestre Engvej 105, st. tv, 5400 Bogense</t>
  </si>
  <si>
    <t>Vestre Engvej 105, 1. tv, 5400 Bogense</t>
  </si>
  <si>
    <t>Vestre Engvej 105, 1. th, 5400 Bogense</t>
  </si>
  <si>
    <t>Vestre Engvej 104, 5400 Bogense</t>
  </si>
  <si>
    <t>3am</t>
  </si>
  <si>
    <t>Vestre Engvej 101, st. tv, 5400 Bogense</t>
  </si>
  <si>
    <t>Vestre Engvej 103, st. th, 5400 Bogense</t>
  </si>
  <si>
    <t>Vestre Engvej 103, 1. tv, 5400 Bogense</t>
  </si>
  <si>
    <t>Vestre Engvej 103, 1. th, 5400 Bogense</t>
  </si>
  <si>
    <t>Vestre Engvej 101, st. th, 5400 Bogense</t>
  </si>
  <si>
    <t>Vestre Engvej 101, 1. tv, 5400 Bogense</t>
  </si>
  <si>
    <t>Vestre Engvej 101, 1. th, 5400 Bogense</t>
  </si>
  <si>
    <t>Vestre Engvej 102, st. tv, 5400 Bogense</t>
  </si>
  <si>
    <t>Vestre Engvej 102, st. th, 5400 Bogense</t>
  </si>
  <si>
    <t>Vestre Engvej 102, 1. tv, 5400 Bogense</t>
  </si>
  <si>
    <t>Vestre Engvej 102, 1. th, 5400 Bogense</t>
  </si>
  <si>
    <t>Vestre Engvej 103, st. tv, 5400 Bogense</t>
  </si>
  <si>
    <t>Vestre Engvej 101, 5400 Bogense</t>
  </si>
  <si>
    <t>3an</t>
  </si>
  <si>
    <t>Vestre Engvej 133, st. tv, 5400 Bogense</t>
  </si>
  <si>
    <t>Vestre Engvej 133, st. th, 5400 Bogense</t>
  </si>
  <si>
    <t>Vestre Engvej 133, 1. tv, 5400 Bogense</t>
  </si>
  <si>
    <t>Vestre Engvej 133, 1. th, 5400 Bogense</t>
  </si>
  <si>
    <t>Vestre Engvej 134, st. tv, 5400 Bogense</t>
  </si>
  <si>
    <t>Vestre Engvej 134, st. th, 5400 Bogense</t>
  </si>
  <si>
    <t>Vestre Engvej 134, 1. tv, 5400 Bogense</t>
  </si>
  <si>
    <t>Vestre Engvej 134, 1. th, 5400 Bogense</t>
  </si>
  <si>
    <t>Vestre Engvej 133, 5400 Bogense</t>
  </si>
  <si>
    <t>3ao</t>
  </si>
  <si>
    <t>Vestre Engvej 131, st. tv, 5400 Bogense</t>
  </si>
  <si>
    <t>Vestre Engvej 131, 1. tv, 5400 Bogense</t>
  </si>
  <si>
    <t>Vestre Engvej 131, 1. th, 5400 Bogense</t>
  </si>
  <si>
    <t>Vestre Engvej 132, st. tv, 5400 Bogense</t>
  </si>
  <si>
    <t>Vestre Engvej 132, st. th, 5400 Bogense</t>
  </si>
  <si>
    <t>Vestre Engvej 132, 1. tv, 5400 Bogense</t>
  </si>
  <si>
    <t>Vestre Engvej 132, 1. th, 5400 Bogense</t>
  </si>
  <si>
    <t>Vestre Engvej 131, 5400 Bogense</t>
  </si>
  <si>
    <t>3ap</t>
  </si>
  <si>
    <t>Vestre Engvej 135, st. tv, 5400 Bogense</t>
  </si>
  <si>
    <t>Vestre Engvej 137, 1. tv, 5400 Bogense</t>
  </si>
  <si>
    <t>Vestre Engvej 137, 1. th, 5400 Bogense</t>
  </si>
  <si>
    <t>Vestre Engvej 138, st. tv, 5400 Bogense</t>
  </si>
  <si>
    <t>Vestre Engvej 138, st. th, 5400 Bogense</t>
  </si>
  <si>
    <t>Vestre Engvej 138, 1. tv, 5400 Bogense</t>
  </si>
  <si>
    <t>Vestre Engvej 138, 1. th, 5400 Bogense</t>
  </si>
  <si>
    <t>Vestre Engvej 139, st. tv, 5400 Bogense</t>
  </si>
  <si>
    <t>Vestre Engvej 139, 1. tv, 5400 Bogense</t>
  </si>
  <si>
    <t>Vestre Engvej 139, 1. th, 5400 Bogense</t>
  </si>
  <si>
    <t>Vestre Engvej 135, 1. tv, 5400 Bogense</t>
  </si>
  <si>
    <t>Vestre Engvej 135, 1. th, 5400 Bogense</t>
  </si>
  <si>
    <t>Vestre Engvej 136, st. tv, 5400 Bogense</t>
  </si>
  <si>
    <t>Vestre Engvej 136, st. th, 5400 Bogense</t>
  </si>
  <si>
    <t>Vestre Engvej 136, 1. tv, 5400 Bogense</t>
  </si>
  <si>
    <t>Vestre Engvej 136, 1. th, 5400 Bogense</t>
  </si>
  <si>
    <t>Vestre Engvej 137, st. tv, 5400 Bogense</t>
  </si>
  <si>
    <t>Vestre Engvej 137, st. th, 5400 Bogense</t>
  </si>
  <si>
    <t>Vestre Engvej 135, 5400 Bogense</t>
  </si>
  <si>
    <t>24b;15a;10g;13h;10f;16c;23d;40c</t>
  </si>
  <si>
    <t>Bogmose 15, Eskilstrup, 5400 Bogense</t>
  </si>
  <si>
    <t>7a;18a;14d;13d;23a;6bd;4c;4av;3e</t>
  </si>
  <si>
    <t>Skåstrupvej 32, Skåstrup, 5400 Bogense</t>
  </si>
  <si>
    <t>7000az</t>
  </si>
  <si>
    <t>91cm</t>
  </si>
  <si>
    <t>Tromsøparken 4, Bogense, 5400 Bogense</t>
  </si>
  <si>
    <t>91cn</t>
  </si>
  <si>
    <t>Tromsøparken 6, Bogense, 5400 Bogense</t>
  </si>
  <si>
    <t>91co</t>
  </si>
  <si>
    <t>Tromsøparken 8, Bogense, 5400 Bogense</t>
  </si>
  <si>
    <t>91cp</t>
  </si>
  <si>
    <t>Tromsøparken 10, Bogense, 5400 Bogense</t>
  </si>
  <si>
    <t>91cq</t>
  </si>
  <si>
    <t>Tromsøparken 12, Bogense, 5400 Bogense</t>
  </si>
  <si>
    <t>91cr</t>
  </si>
  <si>
    <t>Tromsøparken 14, Bogense, 5400 Bogense</t>
  </si>
  <si>
    <t>91cs</t>
  </si>
  <si>
    <t>Tromsøparken 16, Bogense, 5400 Bogense</t>
  </si>
  <si>
    <t>91ct</t>
  </si>
  <si>
    <t>Tromsøparken 18, Bogense, 5400 Bogense</t>
  </si>
  <si>
    <t>91cu</t>
  </si>
  <si>
    <t>Tromsøparken 20, Bogense, 5400 Bogense</t>
  </si>
  <si>
    <t>91cv</t>
  </si>
  <si>
    <t>Tromsøparken 22, Bogense, 5400 Bogense</t>
  </si>
  <si>
    <t>91cx</t>
  </si>
  <si>
    <t>Tromsøparken 24, Bogense, 5400 Bogense</t>
  </si>
  <si>
    <t>91cy</t>
  </si>
  <si>
    <t>Tromsøparken 7, Bogense, 5400 Bogense</t>
  </si>
  <si>
    <t>Tromsøparken 9, Bogense, 5400 Bogense</t>
  </si>
  <si>
    <t>Tromsøparken 5, Bogense, 5400 Bogense</t>
  </si>
  <si>
    <t>Tromsøparken 3, Bogense, 5400 Bogense</t>
  </si>
  <si>
    <t>Tromsøparken 1, Bogense, 5400 Bogense</t>
  </si>
  <si>
    <t>255d;255e</t>
  </si>
  <si>
    <t>Torvet 32A, 5400 Bogense</t>
  </si>
  <si>
    <t>21</t>
  </si>
  <si>
    <t>Harritslevvej 17, Grønløkke, 5400 Bogense</t>
  </si>
  <si>
    <t>58a</t>
  </si>
  <si>
    <t>Odensevej 64, 5400 Bogense</t>
  </si>
  <si>
    <t>Rosenhaven 64, Bogense, 5400 Bogense</t>
  </si>
  <si>
    <t>Rosenhaven 1, Bogense, 5400 Bogense</t>
  </si>
  <si>
    <t>Rosenhaven 10, Bogense, 5400 Bogense</t>
  </si>
  <si>
    <t>Rosenhaven 11, Bogense, 5400 Bogense</t>
  </si>
  <si>
    <t>Rosenhaven 12, Bogense, 5400 Bogense</t>
  </si>
  <si>
    <t>Rosenhaven 13, Bogense, 5400 Bogense</t>
  </si>
  <si>
    <t>Rosenhaven 14, Bogense, 5400 Bogense</t>
  </si>
  <si>
    <t>Rosenhaven 15, Bogense, 5400 Bogense</t>
  </si>
  <si>
    <t>Rosenhaven 17, Bogense, 5400 Bogense</t>
  </si>
  <si>
    <t>Rosenhaven 19, Bogense, 5400 Bogense</t>
  </si>
  <si>
    <t>Rosenhaven 2, Bogense, 5400 Bogense</t>
  </si>
  <si>
    <t>Rosenhaven 21, Bogense, 5400 Bogense</t>
  </si>
  <si>
    <t>Rosenhaven 25, Bogense, 5400 Bogense</t>
  </si>
  <si>
    <t>Rosenhaven 29, Bogense, 5400 Bogense</t>
  </si>
  <si>
    <t>Rosenhaven 3, Bogense, 5400 Bogense</t>
  </si>
  <si>
    <t>Rosenhaven 30, Bogense, 5400 Bogense</t>
  </si>
  <si>
    <t>Rosenhaven 31, Bogense, 5400 Bogense</t>
  </si>
  <si>
    <t>Rosenhaven 32, Bogense, 5400 Bogense</t>
  </si>
  <si>
    <t>Rosenhaven 33, Bogense, 5400 Bogense</t>
  </si>
  <si>
    <t>Rosenhaven 34, Bogense, 5400 Bogense</t>
  </si>
  <si>
    <t>Rosenhaven 35, Bogense, 5400 Bogense</t>
  </si>
  <si>
    <t>Rosenhaven 36, Bogense, 5400 Bogense</t>
  </si>
  <si>
    <t>Rosenhaven 37, Bogense, 5400 Bogense</t>
  </si>
  <si>
    <t>Rosenhaven 38, Bogense, 5400 Bogense</t>
  </si>
  <si>
    <t>Rosenhaven 4, Bogense, 5400 Bogense</t>
  </si>
  <si>
    <t>Rosenhaven 40, Bogense, 5400 Bogense</t>
  </si>
  <si>
    <t>Rosenhaven 42, Bogense, 5400 Bogense</t>
  </si>
  <si>
    <t>Rosenhaven 43, Bogense, 5400 Bogense</t>
  </si>
  <si>
    <t>Rosenhaven 44, Bogense, 5400 Bogense</t>
  </si>
  <si>
    <t>Rosenhaven 45, Bogense, 5400 Bogense</t>
  </si>
  <si>
    <t>Rosenhaven 46, Bogense, 5400 Bogense</t>
  </si>
  <si>
    <t>Rosenhaven 48, Bogense, 5400 Bogense</t>
  </si>
  <si>
    <t>Rosenhaven 5, Bogense, 5400 Bogense</t>
  </si>
  <si>
    <t>Rosenhaven 50, Bogense, 5400 Bogense</t>
  </si>
  <si>
    <t>Rosenhaven 52, Bogense, 5400 Bogense</t>
  </si>
  <si>
    <t>Rosenhaven 54, Bogense, 5400 Bogense</t>
  </si>
  <si>
    <t>Rosenhaven 56, Bogense, 5400 Bogense</t>
  </si>
  <si>
    <t>Rosenhaven 58, Bogense, 5400 Bogense</t>
  </si>
  <si>
    <t>Rosenhaven 6, Bogense, 5400 Bogense</t>
  </si>
  <si>
    <t>Rosenhaven 60, Bogense, 5400 Bogense</t>
  </si>
  <si>
    <t>Rosenhaven 62, Bogense, 5400 Bogense</t>
  </si>
  <si>
    <t>Rosenhaven 66, Bogense, 5400 Bogense</t>
  </si>
  <si>
    <t>Rosenhaven 68, Bogense, 5400 Bogense</t>
  </si>
  <si>
    <t>Rosenhaven 7, Bogense, 5400 Bogense</t>
  </si>
  <si>
    <t>Rosenhaven 70, Bogense, 5400 Bogense</t>
  </si>
  <si>
    <t>Rosenhaven 72, Bogense, 5400 Bogense</t>
  </si>
  <si>
    <t>Rosenhaven 74, Bogense, 5400 Bogense</t>
  </si>
  <si>
    <t>Rosenhaven 76, Bogense, 5400 Bogense</t>
  </si>
  <si>
    <t>Rosenhaven 78, Bogense, 5400 Bogense</t>
  </si>
  <si>
    <t>Rosenhaven 8, Bogense, 5400 Bogense</t>
  </si>
  <si>
    <t>Rosenhaven 80, Bogense, 5400 Bogense</t>
  </si>
  <si>
    <t>Rosenhaven 82, Bogense, 5400 Bogense</t>
  </si>
  <si>
    <t>Rosenhaven 84, Bogense, 5400 Bogense</t>
  </si>
  <si>
    <t>Rosenhaven 86, Bogense, 5400 Bogense</t>
  </si>
  <si>
    <t>Rosenhaven 88, Bogense, 5400 Bogense</t>
  </si>
  <si>
    <t>Rosenhaven 9, Bogense, 5400 Bogense</t>
  </si>
  <si>
    <t>Rosenhaven 90, Bogense, 5400 Bogense</t>
  </si>
  <si>
    <t>Rosenhaven 92, Bogense, 5400 Bogense</t>
  </si>
  <si>
    <t>Rosenhaven 94, Bogense, 5400 Bogense</t>
  </si>
  <si>
    <t>Rosenhaven 96, Bogense, 5400 Bogense</t>
  </si>
  <si>
    <t>Rosenhaven 98, Bogense, 5400 Bogense</t>
  </si>
  <si>
    <t>Huggetvej 23, 5400 Bogense</t>
  </si>
  <si>
    <t>Huggetvej 23A, 5400 Bogense</t>
  </si>
  <si>
    <t>Huggetvej 23B, 5400 Bogense</t>
  </si>
  <si>
    <t>Huggetvej 23C, 5400 Bogense</t>
  </si>
  <si>
    <t>91cø</t>
  </si>
  <si>
    <t>Norgesvej 5, Bogense, 5400 Bogense</t>
  </si>
  <si>
    <t>31ap</t>
  </si>
  <si>
    <t>Søndermarksvej 10, 5400 Bogense</t>
  </si>
  <si>
    <t>3aq</t>
  </si>
  <si>
    <t>Vestre Engvej 24A, st., 5400 Bogense</t>
  </si>
  <si>
    <t>Vestre Engvej 26D, st., 5400 Bogense</t>
  </si>
  <si>
    <t>Vestre Engvej 26H, 1., 5400 Bogense</t>
  </si>
  <si>
    <t>Vestre Engvej 26G, 1., 5400 Bogense</t>
  </si>
  <si>
    <t>Vestre Engvej 26F, 1., 5400 Bogense</t>
  </si>
  <si>
    <t>Vestre Engvej 26E, 1., 5400 Bogense</t>
  </si>
  <si>
    <t>Vestre Engvej 28A, st., 5400 Bogense</t>
  </si>
  <si>
    <t>Vestre Engvej 28B, st., 5400 Bogense</t>
  </si>
  <si>
    <t>Vestre Engvej 28C, st., 5400 Bogense</t>
  </si>
  <si>
    <t>Vestre Engvej 28D, st., 5400 Bogense</t>
  </si>
  <si>
    <t>Vestre Engvej 28H, 1., 5400 Bogense</t>
  </si>
  <si>
    <t>Vestre Engvej 24B, st., 5400 Bogense</t>
  </si>
  <si>
    <t>Vestre Engvej 28G, 1., 5400 Bogense</t>
  </si>
  <si>
    <t>Vestre Engvej 28F, 1., 5400 Bogense</t>
  </si>
  <si>
    <t>Vestre Engvej 28E, 1., 5400 Bogense</t>
  </si>
  <si>
    <t>Vestre Engvej 22F, 5400 Bogense</t>
  </si>
  <si>
    <t>Vestre Engvej 22E, 5400 Bogense</t>
  </si>
  <si>
    <t>Vestre Engvej 22D, 5400 Bogense</t>
  </si>
  <si>
    <t>Vestre Engvej 22C, 5400 Bogense</t>
  </si>
  <si>
    <t>Vestre Engvej 22B, 5400 Bogense</t>
  </si>
  <si>
    <t>Vestre Engvej 22A, 5400 Bogense</t>
  </si>
  <si>
    <t>Vestre Engvej 20F, 5400 Bogense</t>
  </si>
  <si>
    <t>Vestre Engvej 24C, st., 5400 Bogense</t>
  </si>
  <si>
    <t>Vestre Engvej 20E, 5400 Bogense</t>
  </si>
  <si>
    <t>Vestre Engvej 20D, 5400 Bogense</t>
  </si>
  <si>
    <t>Vestre Engvej 20C, 5400 Bogense</t>
  </si>
  <si>
    <t>Vestre Engvej 20B, 5400 Bogense</t>
  </si>
  <si>
    <t>Vestre Engvej 20A, 5400 Bogense</t>
  </si>
  <si>
    <t>Vestre Engvej 24F, 1., 5400 Bogense</t>
  </si>
  <si>
    <t>Vestre Engvej 24E, 1., 5400 Bogense</t>
  </si>
  <si>
    <t>Vestre Engvej 24D, 1., 5400 Bogense</t>
  </si>
  <si>
    <t>Vestre Engvej 26A, st., 5400 Bogense</t>
  </si>
  <si>
    <t>Vestre Engvej 26B, st., 5400 Bogense</t>
  </si>
  <si>
    <t>Vestre Engvej 26C, st., 5400 Bogense</t>
  </si>
  <si>
    <t>7000aæ</t>
  </si>
  <si>
    <t>45c</t>
  </si>
  <si>
    <t>Ålesundparken 3, Bogense, 5400 Bogense</t>
  </si>
  <si>
    <t>45d</t>
  </si>
  <si>
    <t>Ålesundparken 5, Bogense, 5400 Bogense</t>
  </si>
  <si>
    <t>45e</t>
  </si>
  <si>
    <t>Ålesundparken 7, Bogense, 5400 Bogense</t>
  </si>
  <si>
    <t>45f</t>
  </si>
  <si>
    <t>Ålesundparken 9, Bogense, 5400 Bogense</t>
  </si>
  <si>
    <t>45g</t>
  </si>
  <si>
    <t>Ålesundparken 11, Bogense, 5400 Bogense</t>
  </si>
  <si>
    <t>45h</t>
  </si>
  <si>
    <t>Ålesundparken 13, Bogense, 5400 Bogense</t>
  </si>
  <si>
    <t>45i</t>
  </si>
  <si>
    <t>Ålesundparken 15, Bogense, 5400 Bogense</t>
  </si>
  <si>
    <t>45k</t>
  </si>
  <si>
    <t>Ålesundparken 17, Bogense, 5400 Bogense</t>
  </si>
  <si>
    <t>45l</t>
  </si>
  <si>
    <t>Ålesundparken 19, Bogense, 5400 Bogense</t>
  </si>
  <si>
    <t>45m</t>
  </si>
  <si>
    <t>Ålesundparken 21, Bogense, 5400 Bogense</t>
  </si>
  <si>
    <t>45n</t>
  </si>
  <si>
    <t>Ålesundparken 23, Bogense, 5400 Bogense</t>
  </si>
  <si>
    <t>45o</t>
  </si>
  <si>
    <t>Ålesundparken 25, Bogense, 5400 Bogense</t>
  </si>
  <si>
    <t>45p</t>
  </si>
  <si>
    <t>Ålesundparken 27, Bogense, 5400 Bogense</t>
  </si>
  <si>
    <t>45q</t>
  </si>
  <si>
    <t>Ålesundparken 29, Bogense, 5400 Bogense</t>
  </si>
  <si>
    <t>45r</t>
  </si>
  <si>
    <t>Ålesundparken 31, Bogense, 5400 Bogense</t>
  </si>
  <si>
    <t>45s</t>
  </si>
  <si>
    <t>Ålesundparken 33, Bogense, 5400 Bogense</t>
  </si>
  <si>
    <t>45t</t>
  </si>
  <si>
    <t>Ålesundparken 35, Bogense, 5400 Bogense</t>
  </si>
  <si>
    <t>45u</t>
  </si>
  <si>
    <t>Ålesundparken 37, Bogense, 5400 Bogense</t>
  </si>
  <si>
    <t>45v</t>
  </si>
  <si>
    <t>Ålesundparken 39, Bogense, 5400 Bogense</t>
  </si>
  <si>
    <t>45x</t>
  </si>
  <si>
    <t>Ålesundparken 34, Bogense, 5400 Bogense</t>
  </si>
  <si>
    <t>45y</t>
  </si>
  <si>
    <t>Ålesundparken 32, Bogense, 5400 Bogense</t>
  </si>
  <si>
    <t>45z</t>
  </si>
  <si>
    <t>Ålesundparken 30, Bogense, 5400 Bogense</t>
  </si>
  <si>
    <t>45æ</t>
  </si>
  <si>
    <t>Ålesundparken 28, Bogense, 5400 Bogense</t>
  </si>
  <si>
    <t>45ø</t>
  </si>
  <si>
    <t>Ålesundparken 26, Bogense, 5400 Bogense</t>
  </si>
  <si>
    <t>45aa</t>
  </si>
  <si>
    <t>Ålesundparken 24, Bogense, 5400 Bogense</t>
  </si>
  <si>
    <t>45ab</t>
  </si>
  <si>
    <t>Ålesundparken 22, Bogense, 5400 Bogense</t>
  </si>
  <si>
    <t>45ac</t>
  </si>
  <si>
    <t>Ålesundparken 20, Bogense, 5400 Bogense</t>
  </si>
  <si>
    <t>45ad</t>
  </si>
  <si>
    <t>Ålesundparken 18, Bogense, 5400 Bogense</t>
  </si>
  <si>
    <t>45ae</t>
  </si>
  <si>
    <t>Ålesundparken 16, Bogense, 5400 Bogense</t>
  </si>
  <si>
    <t>45af</t>
  </si>
  <si>
    <t>Ålesundparken 14, Bogense, 5400 Bogense</t>
  </si>
  <si>
    <t>45ag</t>
  </si>
  <si>
    <t>Ålesundparken 12, Bogense, 5400 Bogense</t>
  </si>
  <si>
    <t>45ah</t>
  </si>
  <si>
    <t>Ålesundparken 10, Bogense, 5400 Bogense</t>
  </si>
  <si>
    <t>45ai</t>
  </si>
  <si>
    <t>Ålesundparken 8, Bogense, 5400 Bogense</t>
  </si>
  <si>
    <t>45ak</t>
  </si>
  <si>
    <t>Ålesundparken 6, Bogense, 5400 Bogense</t>
  </si>
  <si>
    <t>45al</t>
  </si>
  <si>
    <t>Ålesundparken 4, Bogense, 5400 Bogense</t>
  </si>
  <si>
    <t>45am</t>
  </si>
  <si>
    <t>Ålesundparken 2, Bogense, 5400 Bogense</t>
  </si>
  <si>
    <t>3ar</t>
  </si>
  <si>
    <t>Enggade 5A, 5400 Bogense</t>
  </si>
  <si>
    <t>Enggade 11A, 5400 Bogense</t>
  </si>
  <si>
    <t>Enggade 11B, 5400 Bogense</t>
  </si>
  <si>
    <t>Enggade 11C, 5400 Bogense</t>
  </si>
  <si>
    <t>Enggade 11D, 5400 Bogense</t>
  </si>
  <si>
    <t>Enggade 13A, 5400 Bogense</t>
  </si>
  <si>
    <t>Enggade 13B, 5400 Bogense</t>
  </si>
  <si>
    <t>Enggade 13C, 5400 Bogense</t>
  </si>
  <si>
    <t>Enggade 13D, 5400 Bogense</t>
  </si>
  <si>
    <t>Enggade 13E, 5400 Bogense</t>
  </si>
  <si>
    <t>Enggade 5B, 5400 Bogense</t>
  </si>
  <si>
    <t>Enggade 5C, 5400 Bogense</t>
  </si>
  <si>
    <t>Enggade 5D, 5400 Bogense</t>
  </si>
  <si>
    <t>Enggade 5E, 5400 Bogense</t>
  </si>
  <si>
    <t>Enggade 5F, 5400 Bogense</t>
  </si>
  <si>
    <t>Enggade 5G, 5400 Bogense</t>
  </si>
  <si>
    <t>Enggade 5H, 5400 Bogense</t>
  </si>
  <si>
    <t>Enggade 5K, 5400 Bogense</t>
  </si>
  <si>
    <t>Enggade 7A, 5400 Bogense</t>
  </si>
  <si>
    <t>Enggade 7B, 5400 Bogense</t>
  </si>
  <si>
    <t>Enggade 7C, 5400 Bogense</t>
  </si>
  <si>
    <t>Enggade 7D, 5400 Bogense</t>
  </si>
  <si>
    <t>Enggade 7E, 5400 Bogense</t>
  </si>
  <si>
    <t>Enggade 7F, 5400 Bogense</t>
  </si>
  <si>
    <t>Enggade 9, 5400 Bogense</t>
  </si>
  <si>
    <t>3at</t>
  </si>
  <si>
    <t>Vestre Engvej 12A, 5400 Bogense</t>
  </si>
  <si>
    <t>Vestre Engvej 14B, 5400 Bogense</t>
  </si>
  <si>
    <t>Vestre Engvej 12D, 5400 Bogense</t>
  </si>
  <si>
    <t>Vestre Engvej 12B, 5400 Bogense</t>
  </si>
  <si>
    <t>Vestre Engvej 12C, 5400 Bogense</t>
  </si>
  <si>
    <t>Vestre Engvej 14A, 5400 Bogense</t>
  </si>
  <si>
    <t>Vestre Engvej 14C, 5400 Bogense</t>
  </si>
  <si>
    <t>Vestre Engvej 14E, 5400 Bogense</t>
  </si>
  <si>
    <t>Vestre Engvej 14G, 5400 Bogense</t>
  </si>
  <si>
    <t>Vestre Engvej 14H, 5400 Bogense</t>
  </si>
  <si>
    <t>Vestre Engvej 14F, 5400 Bogense</t>
  </si>
  <si>
    <t>Vestre Engvej 14D, 5400 Bogense</t>
  </si>
  <si>
    <t>3au</t>
  </si>
  <si>
    <t>Vestre Engvej 16A, 5400 Bogense</t>
  </si>
  <si>
    <t>Vestre Engvej 16D, 5400 Bogense</t>
  </si>
  <si>
    <t>Vestre Engvej 16E, 5400 Bogense</t>
  </si>
  <si>
    <t>Vestre Engvej 16B, 5400 Bogense</t>
  </si>
  <si>
    <t>Vestre Engvej 16C, 5400 Bogense</t>
  </si>
  <si>
    <t>Vestre Engvej 18A, 5400 Bogense</t>
  </si>
  <si>
    <t>Vestre Engvej 18B, 5400 Bogense</t>
  </si>
  <si>
    <t>Vestre Engvej 18C, 5400 Bogense</t>
  </si>
  <si>
    <t>Vestre Engvej 18D, 5400 Bogense</t>
  </si>
  <si>
    <t>3av</t>
  </si>
  <si>
    <t>Vestre Engvej 10A, 5400 Bogense</t>
  </si>
  <si>
    <t>Vestre Engvej 10B, 5400 Bogense</t>
  </si>
  <si>
    <t>Vestre Engvej 10C, 5400 Bogense</t>
  </si>
  <si>
    <t>Vestre Engvej 10D, 5400 Bogense</t>
  </si>
  <si>
    <t>Vestre Engvej 10E, 5400 Bogense</t>
  </si>
  <si>
    <t>Vestre Engvej 10F, 5400 Bogense</t>
  </si>
  <si>
    <t>Vestre Engvej 10G, 5400 Bogense</t>
  </si>
  <si>
    <t>Vestre Engvej 10H, 5400 Bogense</t>
  </si>
  <si>
    <t>3ax</t>
  </si>
  <si>
    <t>Vestre Engvej 30A, 5400 Bogense</t>
  </si>
  <si>
    <t>2;1b;1b;1ab;2b;119b;1ø;1;2;3;82a;4;6;7;8;5;137e;137c;137b;1;6;5;3;4</t>
  </si>
  <si>
    <t>Langø 3, Langø, 5400 Bogense</t>
  </si>
  <si>
    <t>10i;1ak;4i;1am;3f;25a;1an</t>
  </si>
  <si>
    <t>Skåstrupvej 10A, Hugget, 5400 Bogense</t>
  </si>
  <si>
    <t>91bx</t>
  </si>
  <si>
    <t>Trondheimparken 8, 5400 Bogense</t>
  </si>
  <si>
    <t>18m</t>
  </si>
  <si>
    <t>Sct. Anna Park 1, 5400 Bogense</t>
  </si>
  <si>
    <t>53ag</t>
  </si>
  <si>
    <t>Adelgade 110, 5400 Bogense</t>
  </si>
  <si>
    <t>16c;5q</t>
  </si>
  <si>
    <t>285ad</t>
  </si>
  <si>
    <t>285ae</t>
  </si>
  <si>
    <t>285s</t>
  </si>
  <si>
    <t>Fionaparken 20, 5400 Bogense</t>
  </si>
  <si>
    <t>285r</t>
  </si>
  <si>
    <t>Fionaparken 18, 5400 Bogense</t>
  </si>
  <si>
    <t>285q</t>
  </si>
  <si>
    <t>Fionaparken 16, 5400 Bogense</t>
  </si>
  <si>
    <t>285p</t>
  </si>
  <si>
    <t>Fionaparken 14, 5400 Bogense</t>
  </si>
  <si>
    <t>285o</t>
  </si>
  <si>
    <t>Fionaparken 12, 5400 Bogense</t>
  </si>
  <si>
    <t>285n</t>
  </si>
  <si>
    <t>Fionaparken 10, 5400 Bogense</t>
  </si>
  <si>
    <t>285m</t>
  </si>
  <si>
    <t>Fionaparken 8, 5400 Bogense</t>
  </si>
  <si>
    <t>285l</t>
  </si>
  <si>
    <t>Fionaparken 6, 5400 Bogense</t>
  </si>
  <si>
    <t>285k</t>
  </si>
  <si>
    <t>Fionaparken 4, 5400 Bogense</t>
  </si>
  <si>
    <t>285ac</t>
  </si>
  <si>
    <t>Fionaparken 11, 5400 Bogense</t>
  </si>
  <si>
    <t>285ab</t>
  </si>
  <si>
    <t>Fionaparken 7, 5400 Bogense</t>
  </si>
  <si>
    <t>Fionaparken 7, 1. 1, 5400 Bogense</t>
  </si>
  <si>
    <t>Fionaparken 7, 1. 2, 5400 Bogense</t>
  </si>
  <si>
    <t>Fionaparken 7, 1. 3, 5400 Bogense</t>
  </si>
  <si>
    <t>Fionaparken 7, 1. 4, 5400 Bogense</t>
  </si>
  <si>
    <t>Fionaparken 7A, 5400 Bogense</t>
  </si>
  <si>
    <t>Fionaparken 7B, 5400 Bogense</t>
  </si>
  <si>
    <t>Fionaparken 7C, 5400 Bogense</t>
  </si>
  <si>
    <t>Fionaparken 7D, 5400 Bogense</t>
  </si>
  <si>
    <t>Fionaparken 9, 1. 1, 5400 Bogense</t>
  </si>
  <si>
    <t>Fionaparken 9, 1. 2, 5400 Bogense</t>
  </si>
  <si>
    <t>Fionaparken 9, 1. 3, 5400 Bogense</t>
  </si>
  <si>
    <t>Fionaparken 9, 1. 4, 5400 Bogense</t>
  </si>
  <si>
    <t>Fionaparken 9, 1. 5, 5400 Bogense</t>
  </si>
  <si>
    <t>Fionaparken 9A, 5400 Bogense</t>
  </si>
  <si>
    <t>Fionaparken 9B, 5400 Bogense</t>
  </si>
  <si>
    <t>Fionaparken 9C, 5400 Bogense</t>
  </si>
  <si>
    <t>Fionaparken 9D, 5400 Bogense</t>
  </si>
  <si>
    <t>Fionaparken 9E, 5400 Bogense</t>
  </si>
  <si>
    <t>285aa</t>
  </si>
  <si>
    <t>Fionaparken 3A, 5400 Bogense</t>
  </si>
  <si>
    <t>Fionaparken 3B, 5400 Bogense</t>
  </si>
  <si>
    <t>Fionaparken 3C, 5400 Bogense</t>
  </si>
  <si>
    <t>Fionaparken 3D, 5400 Bogense</t>
  </si>
  <si>
    <t>Fionaparken 3E, 5400 Bogense</t>
  </si>
  <si>
    <t>Fionaparken 3F, 5400 Bogense</t>
  </si>
  <si>
    <t>Fionaparken 3G, 5400 Bogense</t>
  </si>
  <si>
    <t>Fionaparken 3H, 5400 Bogense</t>
  </si>
  <si>
    <t>285ø</t>
  </si>
  <si>
    <t>Fionaparken 2, 5400 Bogense</t>
  </si>
  <si>
    <t>Fionaparken 2, 1. 1, 5400 Bogense</t>
  </si>
  <si>
    <t>Fionaparken 2, 1. 2, 5400 Bogense</t>
  </si>
  <si>
    <t>Fionaparken 2, 1. 3, 5400 Bogense</t>
  </si>
  <si>
    <t>Fionaparken 2A, 5400 Bogense</t>
  </si>
  <si>
    <t>Fionaparken 2B, 5400 Bogense</t>
  </si>
  <si>
    <t>Fionaparken 2C, 5400 Bogense</t>
  </si>
  <si>
    <t>285æ</t>
  </si>
  <si>
    <t>Fionaparken 30, 5400 Bogense</t>
  </si>
  <si>
    <t>285z</t>
  </si>
  <si>
    <t>Fionaparken 28, 5400 Bogense</t>
  </si>
  <si>
    <t>285x</t>
  </si>
  <si>
    <t>Fionaparken 26, 5400 Bogense</t>
  </si>
  <si>
    <t>285u</t>
  </si>
  <si>
    <t>Fionaparken 24, 5400 Bogense</t>
  </si>
  <si>
    <t>285t</t>
  </si>
  <si>
    <t>Fionaparken 22, 5400 Bogense</t>
  </si>
  <si>
    <t>Rosenhaven 23, Bogense, 5400 Bogense</t>
  </si>
  <si>
    <t>Rosenhaven 27, Bogense, 5400 Bogense</t>
  </si>
  <si>
    <t>Rosenhaven 16, Bogense, 5400 Bogense</t>
  </si>
  <si>
    <t>Rosenhaven 18, Bogense, 5400 Bogense</t>
  </si>
  <si>
    <t>53i</t>
  </si>
  <si>
    <t>Rosenhaven 20, Bogense, 5400 Bogense</t>
  </si>
  <si>
    <t>53k</t>
  </si>
  <si>
    <t>Rosenhaven 22, Bogense, 5400 Bogense</t>
  </si>
  <si>
    <t>Rosenhaven 24, Bogense, 5400 Bogense</t>
  </si>
  <si>
    <t>Rosenhaven 26, Bogense, 5400 Bogense</t>
  </si>
  <si>
    <t>53n</t>
  </si>
  <si>
    <t>Rosenhaven 28, Bogense, 5400 Bogense</t>
  </si>
  <si>
    <t>33t</t>
  </si>
  <si>
    <t>Hotelpassagen 4, 5400 Bogense</t>
  </si>
  <si>
    <t>33s</t>
  </si>
  <si>
    <t>Hotelpassagen 1, 5400 Bogense</t>
  </si>
  <si>
    <t>33u</t>
  </si>
  <si>
    <t>Hotelpassagen 8, 5400 Bogense</t>
  </si>
  <si>
    <t>64;17e</t>
  </si>
  <si>
    <t>145p</t>
  </si>
  <si>
    <t>Odensevej 38, 5400 Bogense</t>
  </si>
  <si>
    <t>Norgesvej 11, 5400 Bogense</t>
  </si>
  <si>
    <t>Norgesvej 9, 5400 Bogense</t>
  </si>
  <si>
    <t>91da</t>
  </si>
  <si>
    <t>Norgesvej 7, Bogense, 5400 Bogense</t>
  </si>
  <si>
    <t>91db</t>
  </si>
  <si>
    <t>91dc</t>
  </si>
  <si>
    <t>Norgesvej 1, 5400 Bogense</t>
  </si>
  <si>
    <t>91dd</t>
  </si>
  <si>
    <t>Norgesvej 3, Bogense, 5400 Bogense</t>
  </si>
  <si>
    <t>268c</t>
  </si>
  <si>
    <t>Rolighedsvej 5A, 5400 Bogense</t>
  </si>
  <si>
    <t>Kristianslundsvej 30, Grønløkke, 5400 Bogense</t>
  </si>
  <si>
    <t>4bn</t>
  </si>
  <si>
    <t>Jyllandsvej 1A, 5400 Bogense</t>
  </si>
  <si>
    <t>Sct. Anna Park 25, 5400 Bogense</t>
  </si>
  <si>
    <t>Summeret</t>
  </si>
  <si>
    <t>Antal parter fordelt på forsyningsselskaber
(overført fra andet ark)</t>
  </si>
  <si>
    <t xml:space="preserve">Total samlet </t>
  </si>
  <si>
    <t>Indtast BFE-nummer her</t>
  </si>
  <si>
    <t xml:space="preserve">Parter I alt </t>
  </si>
  <si>
    <t>Indirekte Erosion  - Strækning 3</t>
  </si>
  <si>
    <t>Direkte erosion - Strækning 8</t>
  </si>
  <si>
    <t>Link til OIS</t>
  </si>
  <si>
    <t>Kælderkote</t>
  </si>
  <si>
    <t>Find din adresses BFE-nummer ved at bruge filterfunktionen herunder</t>
  </si>
  <si>
    <t>BFE-nummer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</si>
</sst>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9" x14ac:knownFonts="1">
    <font>
      <sz val="11"/>
      <color theme="1"/>
      <name val="Calibri"/>
      <family val="2"/>
      <scheme val="minor"/>
    </font>
    <font>
      <b/>
      <sz val="11"/>
      <color theme="1"/>
      <name val="Calibri"/>
      <family val="2"/>
      <scheme val="minor"/>
    </font>
    <font>
      <sz val="12"/>
      <color theme="1"/>
      <name val="Aptos"/>
      <family val="2"/>
    </font>
    <font>
      <b/>
      <sz val="12"/>
      <name val="Aptos"/>
      <family val="2"/>
    </font>
    <font>
      <sz val="16"/>
      <color theme="1"/>
      <name val="Aptos"/>
      <family val="2"/>
    </font>
    <font>
      <b/>
      <sz val="18"/>
      <color theme="1"/>
      <name val="Aptos"/>
      <family val="2"/>
    </font>
    <font>
      <b/>
      <sz val="12"/>
      <color theme="1"/>
      <name val="Aptos"/>
      <family val="2"/>
    </font>
    <font>
      <b/>
      <sz val="14"/>
      <name val="Aptos"/>
      <family val="2"/>
    </font>
    <font>
      <b/>
      <sz val="18"/>
      <color theme="1"/>
      <name val="Calibri"/>
      <family val="2"/>
      <scheme val="minor"/>
    </font>
    <font>
      <b/>
      <sz val="12"/>
      <color theme="1"/>
      <name val="Calibri"/>
      <family val="2"/>
      <scheme val="minor"/>
    </font>
    <font>
      <u/>
      <sz val="11"/>
      <color theme="10"/>
      <name val="Calibri"/>
      <family val="2"/>
      <scheme val="minor"/>
    </font>
    <font>
      <sz val="11"/>
      <name val="Aptos"/>
      <family val="2"/>
    </font>
    <font>
      <sz val="16"/>
      <color theme="1"/>
      <name val="Calibri"/>
      <family val="2"/>
      <scheme val="minor"/>
    </font>
    <font>
      <sz val="22"/>
      <color theme="1"/>
      <name val="Calibri"/>
      <family val="2"/>
      <scheme val="minor"/>
    </font>
    <font>
      <b/>
      <sz val="16"/>
      <color theme="1"/>
      <name val="Calibri"/>
      <family val="2"/>
      <scheme val="minor"/>
    </font>
    <font>
      <sz val="16"/>
      <color rgb="FF000000"/>
      <name val="Aptos"/>
      <family val="2"/>
    </font>
    <font>
      <b/>
      <sz val="20"/>
      <color theme="1"/>
      <name val="Aptos"/>
      <family val="2"/>
    </font>
    <font>
      <b/>
      <sz val="14"/>
      <color theme="1"/>
      <name val="Calibri"/>
      <family val="2"/>
      <scheme val="minor"/>
    </font>
    <font>
      <b/>
      <sz val="20"/>
      <name val="Calibri"/>
    </font>
  </fonts>
  <fills count="10">
    <fill>
      <patternFill patternType="none"/>
    </fill>
    <fill>
      <patternFill patternType="gray125"/>
    </fill>
    <fill>
      <patternFill patternType="solid">
        <fgColor theme="8" tint="0.79998168889431442"/>
        <bgColor indexed="64"/>
      </patternFill>
    </fill>
    <fill>
      <patternFill patternType="solid">
        <fgColor rgb="FF8FAFD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DAEEF3"/>
        <bgColor rgb="FF000000"/>
      </patternFill>
    </fill>
    <fill>
      <patternFill patternType="solid">
        <fgColor theme="6" tint="0.59999389629810485"/>
        <bgColor indexed="64"/>
      </patternFill>
    </fill>
    <fill>
      <patternFill patternType="solid">
        <fgColor theme="3" tint="0.3999755851924192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top style="thin">
        <color auto="1"/>
      </top>
      <bottom style="thin">
        <color auto="1"/>
      </bottom>
      <diagonal/>
    </border>
    <border>
      <left/>
      <right style="thin">
        <color auto="1"/>
      </right>
      <top style="thin">
        <color auto="1"/>
      </top>
      <bottom style="thin">
        <color auto="1"/>
      </bottom>
      <diagonal/>
    </border>
    <border>
      <left/>
      <right/>
      <top style="medium">
        <color indexed="64"/>
      </top>
      <bottom style="medium">
        <color indexed="64"/>
      </bottom>
      <diagonal/>
    </border>
  </borders>
  <cellStyleXfs count="2">
    <xf numFmtId="0" fontId="0" fillId="0" borderId="0"/>
    <xf numFmtId="0" fontId="10" fillId="0" borderId="0"/>
  </cellStyleXfs>
  <cellXfs count="43">
    <xf numFmtId="0" fontId="0" fillId="0" borderId="0" xfId="0"/>
    <xf numFmtId="0" fontId="2" fillId="0" borderId="0" xfId="0" applyFont="1"/>
    <xf numFmtId="0" fontId="3" fillId="0" borderId="1" xfId="0" applyFont="1" applyBorder="1" applyAlignment="1">
      <alignment horizontal="center" vertical="top"/>
    </xf>
    <xf numFmtId="0" fontId="6" fillId="0" borderId="0" xfId="0" applyFont="1"/>
    <xf numFmtId="0" fontId="5" fillId="2" borderId="0" xfId="0" applyFont="1" applyFill="1"/>
    <xf numFmtId="0" fontId="5" fillId="4" borderId="0" xfId="0" applyFont="1" applyFill="1"/>
    <xf numFmtId="0" fontId="5" fillId="2" borderId="3" xfId="0" applyFont="1" applyFill="1" applyBorder="1"/>
    <xf numFmtId="0" fontId="5" fillId="2" borderId="4" xfId="0" applyFont="1" applyFill="1" applyBorder="1"/>
    <xf numFmtId="0" fontId="4" fillId="2" borderId="4" xfId="0" applyFont="1" applyFill="1" applyBorder="1" applyAlignment="1">
      <alignment wrapText="1"/>
    </xf>
    <xf numFmtId="0" fontId="4" fillId="2" borderId="3" xfId="0" applyFont="1" applyFill="1" applyBorder="1" applyAlignment="1">
      <alignment wrapText="1"/>
    </xf>
    <xf numFmtId="0" fontId="7" fillId="3" borderId="1" xfId="0" applyFont="1" applyFill="1" applyBorder="1" applyAlignment="1">
      <alignment horizontal="center" vertical="top"/>
    </xf>
    <xf numFmtId="0" fontId="7" fillId="3" borderId="2" xfId="0" applyFont="1" applyFill="1" applyBorder="1" applyAlignment="1">
      <alignment horizontal="center" vertical="top"/>
    </xf>
    <xf numFmtId="0" fontId="6" fillId="5" borderId="5" xfId="0" applyFont="1" applyFill="1" applyBorder="1" applyProtection="1">
      <protection locked="0"/>
    </xf>
    <xf numFmtId="0" fontId="1" fillId="5" borderId="1" xfId="0" applyFont="1" applyFill="1" applyBorder="1"/>
    <xf numFmtId="0" fontId="0" fillId="5" borderId="1" xfId="0" applyFill="1" applyBorder="1"/>
    <xf numFmtId="0" fontId="8" fillId="5" borderId="1" xfId="0" applyFont="1" applyFill="1" applyBorder="1"/>
    <xf numFmtId="0" fontId="5" fillId="0" borderId="0" xfId="0" applyFont="1"/>
    <xf numFmtId="0" fontId="9" fillId="0" borderId="0" xfId="0" applyFont="1"/>
    <xf numFmtId="0" fontId="10" fillId="0" borderId="0" xfId="1"/>
    <xf numFmtId="0" fontId="11" fillId="3" borderId="2" xfId="0" applyFont="1" applyFill="1" applyBorder="1" applyAlignment="1">
      <alignment horizontal="center" vertical="top"/>
    </xf>
    <xf numFmtId="0" fontId="12" fillId="0" borderId="0" xfId="0" applyFont="1"/>
    <xf numFmtId="0" fontId="13" fillId="0" borderId="0" xfId="0" applyFont="1"/>
    <xf numFmtId="0" fontId="11" fillId="3" borderId="2" xfId="0" applyFont="1" applyFill="1" applyBorder="1" applyAlignment="1">
      <alignment horizontal="center" vertical="top" wrapText="1"/>
    </xf>
    <xf numFmtId="0" fontId="14" fillId="6" borderId="7" xfId="0" applyFont="1" applyFill="1" applyBorder="1"/>
    <xf numFmtId="0" fontId="14" fillId="6" borderId="8" xfId="0" applyFont="1" applyFill="1" applyBorder="1"/>
    <xf numFmtId="0" fontId="5" fillId="8" borderId="0" xfId="0" applyFont="1" applyFill="1" applyAlignment="1">
      <alignment horizontal="right"/>
    </xf>
    <xf numFmtId="0" fontId="16" fillId="9" borderId="10" xfId="0" applyFont="1" applyFill="1" applyBorder="1"/>
    <xf numFmtId="0" fontId="17" fillId="0" borderId="9" xfId="0" applyFont="1" applyBorder="1"/>
    <xf numFmtId="0" fontId="8" fillId="5" borderId="8" xfId="0" applyFont="1" applyFill="1" applyBorder="1"/>
    <xf numFmtId="0" fontId="18" fillId="0" borderId="0" xfId="0" applyFont="1"/>
    <xf numFmtId="0" fontId="15" fillId="7" borderId="3" xfId="0" applyFont="1" applyFill="1" applyBorder="1" applyAlignment="1">
      <alignment horizontal="center" wrapText="1"/>
    </xf>
    <xf numFmtId="0" fontId="0" fillId="0" borderId="0" xfId="0"/>
    <xf numFmtId="0" fontId="0" fillId="0" borderId="3" xfId="0" applyBorder="1"/>
    <xf numFmtId="0" fontId="2" fillId="2" borderId="11" xfId="0" applyFont="1" applyFill="1" applyBorder="1" applyAlignment="1">
      <alignment horizontal="center" vertical="center" wrapText="1"/>
    </xf>
    <xf numFmtId="0" fontId="0" fillId="0" borderId="6" xfId="0" applyBorder="1"/>
    <xf numFmtId="0" fontId="8" fillId="4" borderId="0" xfId="0" applyFont="1" applyFill="1" applyAlignment="1">
      <alignment horizontal="center"/>
    </xf>
    <xf numFmtId="0" fontId="5" fillId="8" borderId="0" xfId="0" applyFont="1" applyFill="1" applyAlignment="1">
      <alignment horizontal="center" wrapText="1"/>
    </xf>
    <xf numFmtId="0" fontId="16" fillId="9" borderId="9" xfId="0" applyFont="1" applyFill="1" applyBorder="1" applyAlignment="1">
      <alignment horizontal="center"/>
    </xf>
    <xf numFmtId="0" fontId="16" fillId="9" borderId="14" xfId="0" applyFont="1" applyFill="1" applyBorder="1" applyAlignment="1">
      <alignment horizontal="center"/>
    </xf>
    <xf numFmtId="0" fontId="1" fillId="5" borderId="1" xfId="0" applyFont="1" applyFill="1" applyBorder="1" applyAlignment="1">
      <alignment horizontal="center"/>
    </xf>
    <xf numFmtId="0" fontId="0" fillId="0" borderId="12" xfId="0" applyBorder="1"/>
    <xf numFmtId="0" fontId="0" fillId="0" borderId="13" xfId="0" applyBorder="1"/>
    <xf numFmtId="0" fontId="0" fillId="0" borderId="6" xfId="0" applyBorder="1" applyAlignment="1">
      <alignment horizontal="center"/>
    </xf>
  </cellXfs>
  <cellStyles count="2">
    <cellStyle name="Link" xfId="1" builtinId="8"/>
    <cellStyle name="Normal" xfId="0" builtinId="0"/>
  </cellStyles>
  <dxfs count="3">
    <dxf>
      <fill>
        <patternFill patternType="solid">
          <fgColor theme="8" tint="0.79998168889431442"/>
          <bgColor theme="8" tint="0.79998168889431442"/>
        </patternFill>
      </fill>
    </dxf>
    <dxf>
      <font>
        <color theme="1"/>
      </font>
      <fill>
        <patternFill>
          <bgColor rgb="FF8FAFD5"/>
        </patternFill>
      </fill>
      <border>
        <bottom style="thin">
          <color theme="8"/>
        </bottom>
      </border>
    </dxf>
    <dxf>
      <font>
        <color theme="1"/>
      </font>
      <border>
        <top style="thin">
          <color theme="8"/>
        </top>
        <bottom style="thin">
          <color theme="8"/>
        </bottom>
      </border>
    </dxf>
  </dxfs>
  <tableStyles count="1" defaultTableStyle="TableStyleMedium9" defaultPivotStyle="PivotStyleLight16">
    <tableStyle name="Nordfyn" pivot="0" count="3" xr9:uid="{00000000-0011-0000-FFFF-FFFF00000000}">
      <tableStyleElement type="wholeTable" dxfId="2"/>
      <tableStyleElement type="headerRow" dxfId="1"/>
      <tableStyleElement type="first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S3283">
  <autoFilter ref="A4:S3283" xr:uid="{00000000-0009-0000-0100-000001000000}"/>
  <tableColumns count="19">
    <tableColumn id="1" xr3:uid="{00000000-0010-0000-0000-000001000000}" name="Sfe"/>
    <tableColumn id="2" xr3:uid="{00000000-0010-0000-0000-000002000000}" name="Bfe"/>
    <tableColumn id="3" xr3:uid="{00000000-0010-0000-0000-000003000000}" name="Link Til Ois"/>
    <tableColumn id="4" xr3:uid="{00000000-0010-0000-0000-000004000000}" name="Matrikelnumre"/>
    <tableColumn id="5" xr3:uid="{00000000-0010-0000-0000-000005000000}" name="Antal Parter"/>
    <tableColumn id="6" xr3:uid="{00000000-0010-0000-0000-000006000000}" name="Adresse"/>
    <tableColumn id="7" xr3:uid="{00000000-0010-0000-0000-000007000000}" name="Grundbidrag"/>
    <tableColumn id="8" xr3:uid="{00000000-0010-0000-0000-000008000000}" name="Terrænbidrag"/>
    <tableColumn id="9" xr3:uid="{00000000-0010-0000-0000-000009000000}" name="Bygningsbidrag"/>
    <tableColumn id="10" xr3:uid="{00000000-0010-0000-0000-00000A000000}" name="Kælderbidrag"/>
    <tableColumn id="11" xr3:uid="{00000000-0010-0000-0000-00000B000000}" name="Ekstra Bygningsbidrag"/>
    <tableColumn id="12" xr3:uid="{00000000-0010-0000-0000-00000C000000}" name="Offentlige Veje"/>
    <tableColumn id="13" xr3:uid="{00000000-0010-0000-0000-00000D000000}" name="Landbrugsjord"/>
    <tableColumn id="14" xr3:uid="{00000000-0010-0000-0000-00000E000000}" name="Naturarealer"/>
    <tableColumn id="15" xr3:uid="{00000000-0010-0000-0000-00000F000000}" name="Direkte Erosion - Strækning 3"/>
    <tableColumn id="16" xr3:uid="{00000000-0010-0000-0000-000010000000}" name="Indirekte Erosion - Strækning 3"/>
    <tableColumn id="17" xr3:uid="{00000000-0010-0000-0000-000011000000}" name="Direkte Erosion - Strækning 8"/>
    <tableColumn id="18" xr3:uid="{00000000-0010-0000-0000-000012000000}" name="Sokkelkote"/>
    <tableColumn id="19" xr3:uid="{00000000-0010-0000-0000-000013000000}" name="kaelderkot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290"/>
  <sheetViews>
    <sheetView tabSelected="1" zoomScale="50" zoomScaleNormal="50" workbookViewId="0">
      <pane xSplit="5" ySplit="4" topLeftCell="F5" activePane="bottomRight" state="frozen"/>
      <selection activeCell="B1" sqref="B1"/>
      <selection pane="topRight" activeCell="E1" sqref="E1"/>
      <selection pane="bottomLeft" activeCell="B5" sqref="B5"/>
      <selection pane="bottomRight" activeCell="C10" sqref="C10"/>
    </sheetView>
  </sheetViews>
  <sheetFormatPr defaultRowHeight="15" x14ac:dyDescent="0.25"/>
  <cols>
    <col min="1" max="1" width="22.85546875" customWidth="1"/>
    <col min="2" max="3" width="17.85546875" customWidth="1"/>
    <col min="4" max="4" width="20.28515625" customWidth="1"/>
    <col min="5" max="5" width="20.5703125" customWidth="1"/>
    <col min="6" max="6" width="52.28515625" customWidth="1"/>
    <col min="7" max="7" width="37.42578125" customWidth="1"/>
    <col min="8" max="8" width="33" customWidth="1"/>
    <col min="9" max="9" width="38.85546875" customWidth="1"/>
    <col min="10" max="10" width="28.42578125" customWidth="1"/>
    <col min="11" max="11" width="33" customWidth="1"/>
    <col min="12" max="12" width="35.85546875" customWidth="1"/>
    <col min="13" max="13" width="28.28515625" customWidth="1"/>
    <col min="14" max="14" width="26.140625" customWidth="1"/>
    <col min="15" max="15" width="30.140625" customWidth="1"/>
    <col min="16" max="16" width="31.7109375" customWidth="1"/>
    <col min="17" max="17" width="20.7109375" customWidth="1"/>
    <col min="18" max="18" width="16.7109375" customWidth="1"/>
    <col min="19" max="19" width="11" bestFit="1" customWidth="1"/>
  </cols>
  <sheetData>
    <row r="1" spans="1:19" ht="35.1" customHeight="1" x14ac:dyDescent="0.45">
      <c r="A1" s="29" t="s">
        <v>0</v>
      </c>
      <c r="B1" s="21"/>
    </row>
    <row r="2" spans="1:19" ht="24" customHeight="1" x14ac:dyDescent="0.4">
      <c r="A2" s="33" t="s">
        <v>1</v>
      </c>
      <c r="B2" s="31"/>
      <c r="C2" s="31"/>
      <c r="D2" s="31"/>
      <c r="E2" s="34"/>
      <c r="F2" s="4" t="s">
        <v>2</v>
      </c>
      <c r="G2" s="7" t="s">
        <v>3</v>
      </c>
      <c r="H2" s="7" t="s">
        <v>4</v>
      </c>
      <c r="I2" s="7" t="s">
        <v>5</v>
      </c>
      <c r="J2" s="7" t="s">
        <v>6</v>
      </c>
      <c r="K2" s="7" t="s">
        <v>7</v>
      </c>
      <c r="L2" s="7" t="s">
        <v>8</v>
      </c>
      <c r="M2" s="7" t="s">
        <v>9</v>
      </c>
      <c r="N2" s="7" t="s">
        <v>10</v>
      </c>
      <c r="O2" s="6" t="s">
        <v>11</v>
      </c>
      <c r="P2" s="6" t="s">
        <v>12</v>
      </c>
      <c r="Q2" s="6" t="s">
        <v>13</v>
      </c>
      <c r="R2" s="30" t="s">
        <v>14</v>
      </c>
      <c r="S2" s="31"/>
    </row>
    <row r="3" spans="1:19" ht="301.5" customHeight="1" x14ac:dyDescent="0.4">
      <c r="A3" s="32"/>
      <c r="B3" s="31"/>
      <c r="C3" s="31"/>
      <c r="D3" s="31"/>
      <c r="E3" s="34"/>
      <c r="F3" s="4" t="s">
        <v>15</v>
      </c>
      <c r="G3" s="8" t="s">
        <v>16</v>
      </c>
      <c r="H3" s="8" t="s">
        <v>17</v>
      </c>
      <c r="I3" s="8" t="s">
        <v>18</v>
      </c>
      <c r="J3" s="8" t="s">
        <v>19</v>
      </c>
      <c r="K3" s="8" t="s">
        <v>20</v>
      </c>
      <c r="L3" s="8" t="s">
        <v>21</v>
      </c>
      <c r="M3" s="8" t="s">
        <v>22</v>
      </c>
      <c r="N3" s="8" t="s">
        <v>23</v>
      </c>
      <c r="O3" s="9" t="s">
        <v>24</v>
      </c>
      <c r="P3" s="9" t="s">
        <v>25</v>
      </c>
      <c r="Q3" s="9" t="s">
        <v>26</v>
      </c>
      <c r="R3" s="32"/>
      <c r="S3" s="31"/>
    </row>
    <row r="4" spans="1:19" ht="15.75" customHeight="1" x14ac:dyDescent="0.25">
      <c r="A4" s="3" t="s">
        <v>27</v>
      </c>
      <c r="B4" t="s">
        <v>28</v>
      </c>
      <c r="C4" t="s">
        <v>29</v>
      </c>
      <c r="D4" t="s">
        <v>30</v>
      </c>
      <c r="E4" t="s">
        <v>31</v>
      </c>
      <c r="F4" t="s">
        <v>32</v>
      </c>
      <c r="G4" t="s">
        <v>33</v>
      </c>
      <c r="H4" t="s">
        <v>34</v>
      </c>
      <c r="I4" t="s">
        <v>35</v>
      </c>
      <c r="J4" t="s">
        <v>36</v>
      </c>
      <c r="K4" t="s">
        <v>37</v>
      </c>
      <c r="L4" t="s">
        <v>38</v>
      </c>
      <c r="M4" t="s">
        <v>39</v>
      </c>
      <c r="N4" t="s">
        <v>40</v>
      </c>
      <c r="O4" t="s">
        <v>41</v>
      </c>
      <c r="P4" t="s">
        <v>42</v>
      </c>
      <c r="Q4" s="1" t="s">
        <v>43</v>
      </c>
      <c r="R4" s="1" t="s">
        <v>44</v>
      </c>
      <c r="S4" t="s">
        <v>45</v>
      </c>
    </row>
    <row r="5" spans="1:19" ht="15.75" customHeight="1" x14ac:dyDescent="0.25">
      <c r="A5" s="2">
        <v>1332049</v>
      </c>
      <c r="B5">
        <v>1332049</v>
      </c>
      <c r="C5" t="str">
        <f>HYPERLINK("https://ois.dk/map/1332049/sfe", "Link")</f>
        <v>Link</v>
      </c>
      <c r="D5" t="s">
        <v>46</v>
      </c>
      <c r="E5" s="17">
        <v>0.5</v>
      </c>
      <c r="F5" t="s">
        <v>47</v>
      </c>
      <c r="G5">
        <v>0.5</v>
      </c>
      <c r="Q5" s="1"/>
      <c r="R5" s="1"/>
    </row>
    <row r="6" spans="1:19" ht="15.75" customHeight="1" x14ac:dyDescent="0.25">
      <c r="A6" s="2">
        <v>1332050</v>
      </c>
      <c r="B6">
        <v>1332050</v>
      </c>
      <c r="C6" t="str">
        <f>HYPERLINK("https://ois.dk/map/1332050/sfe", "Link")</f>
        <v>Link</v>
      </c>
      <c r="D6" t="s">
        <v>48</v>
      </c>
      <c r="E6" s="17">
        <v>0.5</v>
      </c>
      <c r="F6" t="s">
        <v>49</v>
      </c>
      <c r="G6">
        <v>0.5</v>
      </c>
      <c r="Q6" s="1"/>
      <c r="R6" s="1"/>
    </row>
    <row r="7" spans="1:19" ht="15.75" customHeight="1" x14ac:dyDescent="0.25">
      <c r="A7" s="2">
        <v>1332052</v>
      </c>
      <c r="B7">
        <v>1332052</v>
      </c>
      <c r="C7" t="str">
        <f>HYPERLINK("https://ois.dk/map/1332052/sfe", "Link")</f>
        <v>Link</v>
      </c>
      <c r="D7" t="s">
        <v>50</v>
      </c>
      <c r="E7" s="17">
        <v>0.84699999999999998</v>
      </c>
      <c r="F7" t="s">
        <v>51</v>
      </c>
      <c r="G7">
        <v>0.5</v>
      </c>
      <c r="M7">
        <v>0.34100000000000003</v>
      </c>
      <c r="N7">
        <v>6.0000000000000001E-3</v>
      </c>
      <c r="Q7" s="1"/>
      <c r="R7" s="1"/>
    </row>
    <row r="8" spans="1:19" ht="15.75" customHeight="1" x14ac:dyDescent="0.25">
      <c r="A8" s="2">
        <v>1332062</v>
      </c>
      <c r="B8">
        <v>1332062</v>
      </c>
      <c r="C8" t="str">
        <f>HYPERLINK("https://ois.dk/map/1332062/sfe", "Link")</f>
        <v>Link</v>
      </c>
      <c r="D8" t="s">
        <v>52</v>
      </c>
      <c r="E8" s="17">
        <v>1.0860000000000001</v>
      </c>
      <c r="F8" t="s">
        <v>53</v>
      </c>
      <c r="G8">
        <v>0.5</v>
      </c>
      <c r="M8">
        <v>0.58600000000000008</v>
      </c>
      <c r="Q8" s="1"/>
      <c r="R8" s="1"/>
    </row>
    <row r="9" spans="1:19" ht="15.75" customHeight="1" x14ac:dyDescent="0.25">
      <c r="A9" s="2">
        <v>1332065</v>
      </c>
      <c r="B9">
        <v>1332065</v>
      </c>
      <c r="C9" t="str">
        <f>HYPERLINK("https://ois.dk/map/1332065/sfe", "Link")</f>
        <v>Link</v>
      </c>
      <c r="D9" t="s">
        <v>54</v>
      </c>
      <c r="E9" s="17">
        <v>2.6869999999999998</v>
      </c>
      <c r="F9" t="s">
        <v>55</v>
      </c>
      <c r="G9">
        <v>0.5</v>
      </c>
      <c r="H9">
        <v>0.25</v>
      </c>
      <c r="I9">
        <v>1</v>
      </c>
      <c r="M9">
        <v>0.93700000000000006</v>
      </c>
      <c r="Q9" s="1"/>
      <c r="R9" s="1">
        <v>1.61</v>
      </c>
    </row>
    <row r="10" spans="1:19" ht="15.75" customHeight="1" x14ac:dyDescent="0.25">
      <c r="A10" s="2">
        <v>1332066</v>
      </c>
      <c r="B10">
        <v>1332066</v>
      </c>
      <c r="C10" t="str">
        <f>HYPERLINK("https://ois.dk/map/1332066/sfe", "Link")</f>
        <v>Link</v>
      </c>
      <c r="D10" t="s">
        <v>56</v>
      </c>
      <c r="E10" s="17">
        <v>0.69299999999999995</v>
      </c>
      <c r="F10" t="s">
        <v>57</v>
      </c>
      <c r="G10">
        <v>0.5</v>
      </c>
      <c r="M10">
        <v>0.193</v>
      </c>
      <c r="Q10" s="1"/>
      <c r="R10" s="1"/>
    </row>
    <row r="11" spans="1:19" ht="15.75" customHeight="1" x14ac:dyDescent="0.25">
      <c r="A11" s="2">
        <v>1332067</v>
      </c>
      <c r="B11">
        <v>1332067</v>
      </c>
      <c r="C11" t="str">
        <f>HYPERLINK("https://ois.dk/map/1332067/sfe", "Link")</f>
        <v>Link</v>
      </c>
      <c r="D11" t="s">
        <v>58</v>
      </c>
      <c r="E11" s="17">
        <v>2.137</v>
      </c>
      <c r="F11" t="s">
        <v>59</v>
      </c>
      <c r="G11">
        <v>0.5</v>
      </c>
      <c r="M11">
        <v>1.6120000000000001</v>
      </c>
      <c r="N11">
        <v>2.5000000000000001E-2</v>
      </c>
      <c r="Q11" s="1"/>
      <c r="R11" s="1"/>
    </row>
    <row r="12" spans="1:19" ht="15.75" customHeight="1" x14ac:dyDescent="0.25">
      <c r="A12" s="2">
        <v>1332069</v>
      </c>
      <c r="B12">
        <v>1332069</v>
      </c>
      <c r="C12" t="str">
        <f>HYPERLINK("https://ois.dk/map/1332069/sfe", "Link")</f>
        <v>Link</v>
      </c>
      <c r="D12" t="s">
        <v>60</v>
      </c>
      <c r="E12" s="17">
        <v>1.415</v>
      </c>
      <c r="F12" t="s">
        <v>61</v>
      </c>
      <c r="G12">
        <v>0.5</v>
      </c>
      <c r="M12">
        <v>0.91499999999999992</v>
      </c>
      <c r="Q12" s="1"/>
      <c r="R12" s="1"/>
    </row>
    <row r="13" spans="1:19" ht="15.75" customHeight="1" x14ac:dyDescent="0.25">
      <c r="A13" s="2">
        <v>1332070</v>
      </c>
      <c r="B13">
        <v>1332070</v>
      </c>
      <c r="C13" t="str">
        <f>HYPERLINK("https://ois.dk/map/1332070/sfe", "Link")</f>
        <v>Link</v>
      </c>
      <c r="D13" t="s">
        <v>62</v>
      </c>
      <c r="E13" s="17">
        <v>0.81799999999999995</v>
      </c>
      <c r="F13" t="s">
        <v>63</v>
      </c>
      <c r="G13">
        <v>0.5</v>
      </c>
      <c r="M13">
        <v>0.318</v>
      </c>
      <c r="Q13" s="1"/>
      <c r="R13" s="1"/>
    </row>
    <row r="14" spans="1:19" ht="15.75" customHeight="1" x14ac:dyDescent="0.25">
      <c r="A14" s="2">
        <v>1332158</v>
      </c>
      <c r="B14">
        <v>1332158</v>
      </c>
      <c r="C14" t="str">
        <f>HYPERLINK("https://ois.dk/map/1332158/sfe", "Link")</f>
        <v>Link</v>
      </c>
      <c r="D14" t="s">
        <v>64</v>
      </c>
      <c r="E14" s="17">
        <v>0.5</v>
      </c>
      <c r="F14" t="s">
        <v>65</v>
      </c>
      <c r="G14">
        <v>0.5</v>
      </c>
      <c r="Q14" s="1"/>
      <c r="R14" s="1"/>
    </row>
    <row r="15" spans="1:19" ht="15.75" customHeight="1" x14ac:dyDescent="0.25">
      <c r="A15" s="2">
        <v>1354874</v>
      </c>
      <c r="B15">
        <v>1354874</v>
      </c>
      <c r="C15" t="str">
        <f t="shared" ref="C15:C29" si="0">HYPERLINK("https://ois.dk/map/1354874/sfe", "Link")</f>
        <v>Link</v>
      </c>
      <c r="D15" t="s">
        <v>66</v>
      </c>
      <c r="E15" s="17">
        <v>0.5</v>
      </c>
      <c r="F15" t="s">
        <v>67</v>
      </c>
      <c r="G15">
        <v>0.5</v>
      </c>
      <c r="Q15" s="1"/>
      <c r="R15" s="1"/>
    </row>
    <row r="16" spans="1:19" ht="15.75" customHeight="1" x14ac:dyDescent="0.25">
      <c r="A16" s="2">
        <v>1354874</v>
      </c>
      <c r="B16">
        <v>1354874</v>
      </c>
      <c r="C16" t="str">
        <f t="shared" si="0"/>
        <v>Link</v>
      </c>
      <c r="D16" t="s">
        <v>66</v>
      </c>
      <c r="E16" s="17">
        <v>0.5</v>
      </c>
      <c r="F16" t="s">
        <v>68</v>
      </c>
      <c r="G16">
        <v>0.5</v>
      </c>
      <c r="Q16" s="1"/>
      <c r="R16" s="1"/>
    </row>
    <row r="17" spans="1:19" ht="15.75" customHeight="1" x14ac:dyDescent="0.25">
      <c r="A17" s="2">
        <v>1354874</v>
      </c>
      <c r="B17">
        <v>1354874</v>
      </c>
      <c r="C17" t="str">
        <f t="shared" si="0"/>
        <v>Link</v>
      </c>
      <c r="D17" t="s">
        <v>66</v>
      </c>
      <c r="E17" s="17">
        <v>0.5</v>
      </c>
      <c r="F17" t="s">
        <v>69</v>
      </c>
      <c r="G17">
        <v>0.5</v>
      </c>
      <c r="Q17" s="1"/>
      <c r="R17" s="1"/>
    </row>
    <row r="18" spans="1:19" ht="15.75" customHeight="1" x14ac:dyDescent="0.25">
      <c r="A18" s="2">
        <v>1354874</v>
      </c>
      <c r="B18">
        <v>1354874</v>
      </c>
      <c r="C18" t="str">
        <f t="shared" si="0"/>
        <v>Link</v>
      </c>
      <c r="D18" t="s">
        <v>66</v>
      </c>
      <c r="E18" s="17">
        <v>0.5</v>
      </c>
      <c r="F18" t="s">
        <v>70</v>
      </c>
      <c r="G18">
        <v>0.5</v>
      </c>
      <c r="Q18" s="1"/>
      <c r="R18" s="1"/>
    </row>
    <row r="19" spans="1:19" ht="15.75" customHeight="1" x14ac:dyDescent="0.25">
      <c r="A19" s="2">
        <v>1354874</v>
      </c>
      <c r="B19">
        <v>1354874</v>
      </c>
      <c r="C19" t="str">
        <f t="shared" si="0"/>
        <v>Link</v>
      </c>
      <c r="D19" t="s">
        <v>66</v>
      </c>
      <c r="E19" s="17">
        <v>0.5</v>
      </c>
      <c r="F19" t="s">
        <v>71</v>
      </c>
      <c r="G19">
        <v>0.5</v>
      </c>
      <c r="Q19" s="1"/>
      <c r="R19" s="1"/>
    </row>
    <row r="20" spans="1:19" ht="15.75" customHeight="1" x14ac:dyDescent="0.25">
      <c r="A20" s="2">
        <v>1354874</v>
      </c>
      <c r="B20">
        <v>1354874</v>
      </c>
      <c r="C20" t="str">
        <f t="shared" si="0"/>
        <v>Link</v>
      </c>
      <c r="D20" t="s">
        <v>66</v>
      </c>
      <c r="E20" s="17">
        <v>0.5</v>
      </c>
      <c r="F20" t="s">
        <v>72</v>
      </c>
      <c r="G20">
        <v>0.5</v>
      </c>
      <c r="Q20" s="1"/>
      <c r="R20" s="1"/>
    </row>
    <row r="21" spans="1:19" ht="15.75" customHeight="1" x14ac:dyDescent="0.25">
      <c r="A21" s="2">
        <v>1354874</v>
      </c>
      <c r="B21">
        <v>1354874</v>
      </c>
      <c r="C21" t="str">
        <f t="shared" si="0"/>
        <v>Link</v>
      </c>
      <c r="D21" t="s">
        <v>66</v>
      </c>
      <c r="E21" s="17">
        <v>0.5</v>
      </c>
      <c r="F21" t="s">
        <v>73</v>
      </c>
      <c r="G21">
        <v>0.5</v>
      </c>
      <c r="Q21" s="1"/>
      <c r="R21" s="1"/>
    </row>
    <row r="22" spans="1:19" ht="15.75" customHeight="1" x14ac:dyDescent="0.25">
      <c r="A22" s="2">
        <v>1354874</v>
      </c>
      <c r="B22">
        <v>1354874</v>
      </c>
      <c r="C22" t="str">
        <f t="shared" si="0"/>
        <v>Link</v>
      </c>
      <c r="D22" t="s">
        <v>66</v>
      </c>
      <c r="E22" s="17">
        <v>0.5</v>
      </c>
      <c r="F22" t="s">
        <v>74</v>
      </c>
      <c r="G22">
        <v>0.5</v>
      </c>
      <c r="Q22" s="1"/>
      <c r="R22" s="1"/>
    </row>
    <row r="23" spans="1:19" ht="15.75" customHeight="1" x14ac:dyDescent="0.25">
      <c r="A23" s="2">
        <v>1354874</v>
      </c>
      <c r="B23">
        <v>1354874</v>
      </c>
      <c r="C23" t="str">
        <f t="shared" si="0"/>
        <v>Link</v>
      </c>
      <c r="D23" t="s">
        <v>66</v>
      </c>
      <c r="E23" s="17">
        <v>0.5</v>
      </c>
      <c r="F23" t="s">
        <v>75</v>
      </c>
      <c r="G23">
        <v>0.5</v>
      </c>
      <c r="Q23" s="1"/>
      <c r="R23" s="1"/>
    </row>
    <row r="24" spans="1:19" ht="15.75" customHeight="1" x14ac:dyDescent="0.25">
      <c r="A24" s="2">
        <v>1354874</v>
      </c>
      <c r="B24">
        <v>1354874</v>
      </c>
      <c r="C24" t="str">
        <f t="shared" si="0"/>
        <v>Link</v>
      </c>
      <c r="D24" t="s">
        <v>66</v>
      </c>
      <c r="E24" s="17">
        <v>0.5</v>
      </c>
      <c r="F24" t="s">
        <v>76</v>
      </c>
      <c r="G24">
        <v>0.5</v>
      </c>
      <c r="Q24" s="1"/>
      <c r="R24" s="1"/>
    </row>
    <row r="25" spans="1:19" ht="15.75" customHeight="1" x14ac:dyDescent="0.25">
      <c r="A25" s="2">
        <v>1354874</v>
      </c>
      <c r="B25">
        <v>1354874</v>
      </c>
      <c r="C25" t="str">
        <f t="shared" si="0"/>
        <v>Link</v>
      </c>
      <c r="D25" t="s">
        <v>66</v>
      </c>
      <c r="E25" s="17">
        <v>0.5</v>
      </c>
      <c r="F25" t="s">
        <v>77</v>
      </c>
      <c r="G25">
        <v>0.5</v>
      </c>
      <c r="Q25" s="1"/>
      <c r="R25" s="1"/>
    </row>
    <row r="26" spans="1:19" ht="15.75" customHeight="1" x14ac:dyDescent="0.25">
      <c r="A26" s="2">
        <v>1354874</v>
      </c>
      <c r="B26">
        <v>1354874</v>
      </c>
      <c r="C26" t="str">
        <f t="shared" si="0"/>
        <v>Link</v>
      </c>
      <c r="D26" t="s">
        <v>66</v>
      </c>
      <c r="E26" s="17">
        <v>0.5</v>
      </c>
      <c r="F26" t="s">
        <v>78</v>
      </c>
      <c r="G26">
        <v>0.5</v>
      </c>
      <c r="Q26" s="1"/>
      <c r="R26" s="1"/>
    </row>
    <row r="27" spans="1:19" ht="15.75" customHeight="1" x14ac:dyDescent="0.25">
      <c r="A27" s="2">
        <v>1354874</v>
      </c>
      <c r="B27">
        <v>1354874</v>
      </c>
      <c r="C27" t="str">
        <f t="shared" si="0"/>
        <v>Link</v>
      </c>
      <c r="D27" t="s">
        <v>66</v>
      </c>
      <c r="E27" s="17">
        <v>0.5</v>
      </c>
      <c r="F27" t="s">
        <v>79</v>
      </c>
      <c r="G27">
        <v>0.5</v>
      </c>
      <c r="Q27" s="1"/>
      <c r="R27" s="1"/>
    </row>
    <row r="28" spans="1:19" ht="15.75" customHeight="1" x14ac:dyDescent="0.25">
      <c r="A28" s="2">
        <v>1354874</v>
      </c>
      <c r="B28">
        <v>1354874</v>
      </c>
      <c r="C28" t="str">
        <f t="shared" si="0"/>
        <v>Link</v>
      </c>
      <c r="D28" t="s">
        <v>66</v>
      </c>
      <c r="E28" s="17">
        <v>0.5</v>
      </c>
      <c r="F28" t="s">
        <v>80</v>
      </c>
      <c r="G28">
        <v>0.5</v>
      </c>
      <c r="Q28" s="1"/>
      <c r="R28" s="1"/>
    </row>
    <row r="29" spans="1:19" ht="15.75" customHeight="1" x14ac:dyDescent="0.25">
      <c r="A29" s="2">
        <v>1354874</v>
      </c>
      <c r="B29">
        <v>1354874</v>
      </c>
      <c r="C29" t="str">
        <f t="shared" si="0"/>
        <v>Link</v>
      </c>
      <c r="D29" t="s">
        <v>66</v>
      </c>
      <c r="E29" s="17">
        <v>0.5</v>
      </c>
      <c r="F29" t="s">
        <v>81</v>
      </c>
      <c r="G29">
        <v>0.5</v>
      </c>
      <c r="Q29" s="1"/>
      <c r="R29" s="1"/>
    </row>
    <row r="30" spans="1:19" ht="15.75" customHeight="1" x14ac:dyDescent="0.25">
      <c r="A30" s="2">
        <v>1354878</v>
      </c>
      <c r="B30">
        <v>1354878</v>
      </c>
      <c r="C30" t="str">
        <f>HYPERLINK("https://ois.dk/map/1354878/sfe", "Link")</f>
        <v>Link</v>
      </c>
      <c r="D30" t="s">
        <v>82</v>
      </c>
      <c r="E30" s="17">
        <v>1.05</v>
      </c>
      <c r="F30" t="s">
        <v>83</v>
      </c>
      <c r="G30">
        <v>0.5</v>
      </c>
      <c r="H30">
        <v>0.25</v>
      </c>
      <c r="J30">
        <v>0.3</v>
      </c>
      <c r="Q30" s="1"/>
      <c r="R30" s="1"/>
      <c r="S30">
        <v>0.99</v>
      </c>
    </row>
    <row r="31" spans="1:19" ht="15.75" customHeight="1" x14ac:dyDescent="0.25">
      <c r="A31" s="2">
        <v>1354880</v>
      </c>
      <c r="B31">
        <v>1354880</v>
      </c>
      <c r="C31" t="str">
        <f>HYPERLINK("https://ois.dk/map/1354880/sfe", "Link")</f>
        <v>Link</v>
      </c>
      <c r="D31" t="s">
        <v>84</v>
      </c>
      <c r="E31" s="17">
        <v>1.05</v>
      </c>
      <c r="F31" t="s">
        <v>85</v>
      </c>
      <c r="G31">
        <v>0.5</v>
      </c>
      <c r="H31">
        <v>0.25</v>
      </c>
      <c r="J31">
        <v>0.3</v>
      </c>
      <c r="Q31" s="1"/>
      <c r="R31" s="1"/>
      <c r="S31">
        <v>0.83</v>
      </c>
    </row>
    <row r="32" spans="1:19" ht="15.75" customHeight="1" x14ac:dyDescent="0.25">
      <c r="A32" s="2">
        <v>1354881</v>
      </c>
      <c r="B32">
        <v>1354881</v>
      </c>
      <c r="C32" t="str">
        <f>HYPERLINK("https://ois.dk/map/1354881/sfe", "Link")</f>
        <v>Link</v>
      </c>
      <c r="D32" t="s">
        <v>86</v>
      </c>
      <c r="E32" s="17">
        <v>2.0499999999999998</v>
      </c>
      <c r="F32" t="s">
        <v>87</v>
      </c>
      <c r="G32">
        <v>0.5</v>
      </c>
      <c r="H32">
        <v>0.25</v>
      </c>
      <c r="I32">
        <v>1</v>
      </c>
      <c r="J32">
        <v>0.3</v>
      </c>
      <c r="Q32" s="1"/>
      <c r="R32" s="1">
        <v>1.23</v>
      </c>
      <c r="S32">
        <v>1.44</v>
      </c>
    </row>
    <row r="33" spans="1:18" ht="15.75" customHeight="1" x14ac:dyDescent="0.25">
      <c r="A33" s="2">
        <v>1354882</v>
      </c>
      <c r="B33">
        <v>1354882</v>
      </c>
      <c r="C33" t="str">
        <f>HYPERLINK("https://ois.dk/map/1354882/sfe", "Link")</f>
        <v>Link</v>
      </c>
      <c r="D33" t="s">
        <v>88</v>
      </c>
      <c r="E33" s="17">
        <v>1.75</v>
      </c>
      <c r="F33" t="s">
        <v>89</v>
      </c>
      <c r="G33">
        <v>0.5</v>
      </c>
      <c r="H33">
        <v>0.25</v>
      </c>
      <c r="I33">
        <v>1</v>
      </c>
      <c r="Q33" s="1"/>
      <c r="R33" s="1">
        <v>2.11</v>
      </c>
    </row>
    <row r="34" spans="1:18" ht="15.75" customHeight="1" x14ac:dyDescent="0.25">
      <c r="A34" s="2">
        <v>1354887</v>
      </c>
      <c r="B34">
        <v>1354887</v>
      </c>
      <c r="C34" t="str">
        <f>HYPERLINK("https://ois.dk/map/1354887/sfe", "Link")</f>
        <v>Link</v>
      </c>
      <c r="D34" t="s">
        <v>90</v>
      </c>
      <c r="E34" s="17">
        <v>2.1960000000000002</v>
      </c>
      <c r="F34" t="s">
        <v>91</v>
      </c>
      <c r="G34">
        <v>0.5</v>
      </c>
      <c r="M34">
        <v>1.696</v>
      </c>
      <c r="Q34" s="1"/>
      <c r="R34" s="1"/>
    </row>
    <row r="35" spans="1:18" ht="15.75" customHeight="1" x14ac:dyDescent="0.25">
      <c r="A35" s="2">
        <v>1354889</v>
      </c>
      <c r="B35">
        <v>1354889</v>
      </c>
      <c r="C35" t="str">
        <f>HYPERLINK("https://ois.dk/map/1354889/sfe", "Link")</f>
        <v>Link</v>
      </c>
      <c r="D35" t="s">
        <v>92</v>
      </c>
      <c r="E35" s="17">
        <v>2.3769999999999998</v>
      </c>
      <c r="F35" t="s">
        <v>93</v>
      </c>
      <c r="G35">
        <v>0.5</v>
      </c>
      <c r="M35">
        <v>1.877</v>
      </c>
      <c r="Q35" s="1"/>
      <c r="R35" s="1"/>
    </row>
    <row r="36" spans="1:18" ht="15.75" customHeight="1" x14ac:dyDescent="0.25">
      <c r="A36" s="2">
        <v>1354892</v>
      </c>
      <c r="B36">
        <v>1354892</v>
      </c>
      <c r="C36" t="str">
        <f>HYPERLINK("https://ois.dk/map/1354892/sfe", "Link")</f>
        <v>Link</v>
      </c>
      <c r="D36" t="s">
        <v>94</v>
      </c>
      <c r="E36" s="17">
        <v>1.75</v>
      </c>
      <c r="F36" t="s">
        <v>95</v>
      </c>
      <c r="G36">
        <v>0.5</v>
      </c>
      <c r="H36">
        <v>0.25</v>
      </c>
      <c r="I36">
        <v>1</v>
      </c>
      <c r="Q36" s="1"/>
      <c r="R36" s="1">
        <v>1.34</v>
      </c>
    </row>
    <row r="37" spans="1:18" ht="15.75" customHeight="1" x14ac:dyDescent="0.25">
      <c r="A37" s="2">
        <v>1354893</v>
      </c>
      <c r="B37">
        <v>1354893</v>
      </c>
      <c r="C37" t="str">
        <f>HYPERLINK("https://ois.dk/map/1354893/sfe", "Link")</f>
        <v>Link</v>
      </c>
      <c r="D37" t="s">
        <v>96</v>
      </c>
      <c r="E37" s="17">
        <v>1.75</v>
      </c>
      <c r="F37" t="s">
        <v>97</v>
      </c>
      <c r="G37">
        <v>0.5</v>
      </c>
      <c r="H37">
        <v>0.25</v>
      </c>
      <c r="I37">
        <v>1</v>
      </c>
      <c r="Q37" s="1"/>
      <c r="R37" s="1">
        <v>1.79</v>
      </c>
    </row>
    <row r="38" spans="1:18" ht="15.75" customHeight="1" x14ac:dyDescent="0.25">
      <c r="A38" s="2">
        <v>1354895</v>
      </c>
      <c r="B38">
        <v>1354895</v>
      </c>
      <c r="C38" t="str">
        <f>HYPERLINK("https://ois.dk/map/1354895/sfe", "Link")</f>
        <v>Link</v>
      </c>
      <c r="D38" t="s">
        <v>98</v>
      </c>
      <c r="E38" s="17">
        <v>1.0189999999999999</v>
      </c>
      <c r="F38" t="s">
        <v>99</v>
      </c>
      <c r="G38">
        <v>0.5</v>
      </c>
      <c r="M38">
        <v>0.51900000000000002</v>
      </c>
      <c r="Q38" s="1"/>
      <c r="R38" s="1"/>
    </row>
    <row r="39" spans="1:18" ht="15.75" customHeight="1" x14ac:dyDescent="0.25">
      <c r="A39" s="2">
        <v>1354896</v>
      </c>
      <c r="B39">
        <v>1354896</v>
      </c>
      <c r="C39" t="str">
        <f>HYPERLINK("https://ois.dk/map/1354896/sfe", "Link")</f>
        <v>Link</v>
      </c>
      <c r="D39" t="s">
        <v>100</v>
      </c>
      <c r="E39" s="17">
        <v>1.75</v>
      </c>
      <c r="F39" t="s">
        <v>101</v>
      </c>
      <c r="G39">
        <v>0.5</v>
      </c>
      <c r="H39">
        <v>0.25</v>
      </c>
      <c r="I39">
        <v>1</v>
      </c>
      <c r="Q39" s="1"/>
      <c r="R39" s="1">
        <v>2.08</v>
      </c>
    </row>
    <row r="40" spans="1:18" ht="15.75" customHeight="1" x14ac:dyDescent="0.25">
      <c r="A40" s="2">
        <v>1354897</v>
      </c>
      <c r="B40">
        <v>1354897</v>
      </c>
      <c r="C40" t="str">
        <f>HYPERLINK("https://ois.dk/map/1354897/sfe", "Link")</f>
        <v>Link</v>
      </c>
      <c r="D40" t="s">
        <v>102</v>
      </c>
      <c r="E40" s="17">
        <v>3.3210000000000002</v>
      </c>
      <c r="F40" t="s">
        <v>103</v>
      </c>
      <c r="G40">
        <v>0.5</v>
      </c>
      <c r="H40">
        <v>0.25</v>
      </c>
      <c r="I40">
        <v>1</v>
      </c>
      <c r="M40">
        <v>1.57</v>
      </c>
      <c r="N40">
        <v>1E-3</v>
      </c>
      <c r="Q40" s="1"/>
      <c r="R40" s="1">
        <v>0.33</v>
      </c>
    </row>
    <row r="41" spans="1:18" ht="15.75" customHeight="1" x14ac:dyDescent="0.25">
      <c r="A41" s="2">
        <v>1354903</v>
      </c>
      <c r="B41">
        <v>1354903</v>
      </c>
      <c r="C41" t="str">
        <f>HYPERLINK("https://ois.dk/map/1354903/sfe", "Link")</f>
        <v>Link</v>
      </c>
      <c r="D41" t="s">
        <v>104</v>
      </c>
      <c r="E41" s="17">
        <v>0.54999999999999982</v>
      </c>
      <c r="F41" t="s">
        <v>105</v>
      </c>
      <c r="H41">
        <v>0.25</v>
      </c>
      <c r="J41">
        <v>0.3</v>
      </c>
      <c r="Q41" s="1"/>
      <c r="R41" s="1">
        <v>2.1</v>
      </c>
    </row>
    <row r="42" spans="1:18" ht="15.75" customHeight="1" x14ac:dyDescent="0.25">
      <c r="A42" s="2">
        <v>1354903</v>
      </c>
      <c r="B42">
        <v>1354903</v>
      </c>
      <c r="C42" t="str">
        <f>HYPERLINK("https://ois.dk/map/1354903/sfe", "Link")</f>
        <v>Link</v>
      </c>
      <c r="D42" t="s">
        <v>104</v>
      </c>
      <c r="E42" s="17">
        <v>1.5</v>
      </c>
      <c r="F42" t="s">
        <v>105</v>
      </c>
      <c r="G42">
        <v>0.5</v>
      </c>
      <c r="I42">
        <v>1</v>
      </c>
      <c r="Q42" s="1"/>
      <c r="R42" s="1">
        <v>2.1</v>
      </c>
    </row>
    <row r="43" spans="1:18" ht="15.75" customHeight="1" x14ac:dyDescent="0.25">
      <c r="A43" s="2">
        <v>1354903</v>
      </c>
      <c r="B43">
        <v>1354903</v>
      </c>
      <c r="C43" t="str">
        <f>HYPERLINK("https://ois.dk/map/1354903/sfe", "Link")</f>
        <v>Link</v>
      </c>
      <c r="D43" t="s">
        <v>104</v>
      </c>
      <c r="E43" s="17">
        <v>1.5</v>
      </c>
      <c r="F43" t="s">
        <v>105</v>
      </c>
      <c r="G43">
        <v>0.5</v>
      </c>
      <c r="I43">
        <v>1</v>
      </c>
      <c r="Q43" s="1"/>
      <c r="R43" s="1">
        <v>2.13</v>
      </c>
    </row>
    <row r="44" spans="1:18" ht="15.75" customHeight="1" x14ac:dyDescent="0.25">
      <c r="A44" s="2">
        <v>1354907</v>
      </c>
      <c r="B44">
        <v>1354907</v>
      </c>
      <c r="C44" t="str">
        <f>HYPERLINK("https://ois.dk/map/1354907/sfe", "Link")</f>
        <v>Link</v>
      </c>
      <c r="D44" t="s">
        <v>106</v>
      </c>
      <c r="E44" s="17">
        <v>0.75</v>
      </c>
      <c r="F44" t="s">
        <v>107</v>
      </c>
      <c r="G44">
        <v>0.5</v>
      </c>
      <c r="H44">
        <v>0.25</v>
      </c>
      <c r="Q44" s="1"/>
      <c r="R44" s="1"/>
    </row>
    <row r="45" spans="1:18" ht="15.75" customHeight="1" x14ac:dyDescent="0.25">
      <c r="A45" s="2">
        <v>1354908</v>
      </c>
      <c r="B45">
        <v>1354908</v>
      </c>
      <c r="C45" t="str">
        <f>HYPERLINK("https://ois.dk/map/1354908/sfe", "Link")</f>
        <v>Link</v>
      </c>
      <c r="D45" t="s">
        <v>108</v>
      </c>
      <c r="E45" s="17">
        <v>3.726</v>
      </c>
      <c r="F45" t="s">
        <v>109</v>
      </c>
      <c r="G45">
        <v>0.5</v>
      </c>
      <c r="H45">
        <v>0.25</v>
      </c>
      <c r="I45">
        <v>1</v>
      </c>
      <c r="M45">
        <v>1.974</v>
      </c>
      <c r="N45">
        <v>2E-3</v>
      </c>
      <c r="Q45" s="1"/>
      <c r="R45" s="1">
        <v>1.01</v>
      </c>
    </row>
    <row r="46" spans="1:18" ht="15.75" customHeight="1" x14ac:dyDescent="0.25">
      <c r="A46" s="2">
        <v>1354909</v>
      </c>
      <c r="B46">
        <v>1354909</v>
      </c>
      <c r="C46" t="str">
        <f>HYPERLINK("https://ois.dk/map/1354909/sfe", "Link")</f>
        <v>Link</v>
      </c>
      <c r="D46" t="s">
        <v>110</v>
      </c>
      <c r="E46" s="17">
        <v>1.0960000000000001</v>
      </c>
      <c r="F46" t="s">
        <v>111</v>
      </c>
      <c r="G46">
        <v>0.5</v>
      </c>
      <c r="M46">
        <v>0.59599999999999997</v>
      </c>
      <c r="Q46" s="1"/>
      <c r="R46" s="1"/>
    </row>
    <row r="47" spans="1:18" ht="15.75" customHeight="1" x14ac:dyDescent="0.25">
      <c r="A47" s="2">
        <v>1354912</v>
      </c>
      <c r="B47">
        <v>1354912</v>
      </c>
      <c r="C47" t="str">
        <f>HYPERLINK("https://ois.dk/map/1354912/sfe", "Link")</f>
        <v>Link</v>
      </c>
      <c r="D47" t="s">
        <v>112</v>
      </c>
      <c r="E47" s="17">
        <v>2.1869999999999998</v>
      </c>
      <c r="F47" t="s">
        <v>113</v>
      </c>
      <c r="G47">
        <v>0.5</v>
      </c>
      <c r="H47">
        <v>0.25</v>
      </c>
      <c r="M47">
        <v>1.4370000000000001</v>
      </c>
      <c r="Q47" s="1"/>
      <c r="R47" s="1"/>
    </row>
    <row r="48" spans="1:18" ht="15.75" customHeight="1" x14ac:dyDescent="0.25">
      <c r="A48" s="2">
        <v>1354913</v>
      </c>
      <c r="B48">
        <v>1354913</v>
      </c>
      <c r="C48" t="str">
        <f>HYPERLINK("https://ois.dk/map/1354913/sfe", "Link")</f>
        <v>Link</v>
      </c>
      <c r="D48" t="s">
        <v>114</v>
      </c>
      <c r="E48" s="17">
        <v>1.4570000000000001</v>
      </c>
      <c r="F48" t="s">
        <v>115</v>
      </c>
      <c r="G48">
        <v>0.5</v>
      </c>
      <c r="M48">
        <v>0.95699999999999996</v>
      </c>
      <c r="Q48" s="1"/>
      <c r="R48" s="1"/>
    </row>
    <row r="49" spans="1:18" ht="15.75" customHeight="1" x14ac:dyDescent="0.25">
      <c r="A49" s="2">
        <v>1354916</v>
      </c>
      <c r="B49">
        <v>1354916</v>
      </c>
      <c r="C49" t="str">
        <f>HYPERLINK("https://ois.dk/map/1354916/sfe", "Link")</f>
        <v>Link</v>
      </c>
      <c r="D49" t="s">
        <v>116</v>
      </c>
      <c r="E49" s="17">
        <v>2.3980000000000001</v>
      </c>
      <c r="F49" t="s">
        <v>117</v>
      </c>
      <c r="G49">
        <v>0.5</v>
      </c>
      <c r="M49">
        <v>1.8979999999999999</v>
      </c>
      <c r="Q49" s="1"/>
      <c r="R49" s="1"/>
    </row>
    <row r="50" spans="1:18" ht="15.75" customHeight="1" x14ac:dyDescent="0.25">
      <c r="A50" s="2">
        <v>1354918</v>
      </c>
      <c r="B50">
        <v>1354918</v>
      </c>
      <c r="C50" t="str">
        <f>HYPERLINK("https://ois.dk/map/1354918/sfe", "Link")</f>
        <v>Link</v>
      </c>
      <c r="D50" t="s">
        <v>118</v>
      </c>
      <c r="E50" s="17">
        <v>1.8759999999999999</v>
      </c>
      <c r="F50" t="s">
        <v>119</v>
      </c>
      <c r="G50">
        <v>0.5</v>
      </c>
      <c r="H50">
        <v>0.25</v>
      </c>
      <c r="I50">
        <v>1</v>
      </c>
      <c r="M50">
        <v>0.126</v>
      </c>
      <c r="Q50" s="1"/>
      <c r="R50" s="1">
        <v>1.18</v>
      </c>
    </row>
    <row r="51" spans="1:18" ht="15.75" customHeight="1" x14ac:dyDescent="0.25">
      <c r="A51" s="2">
        <v>1354921</v>
      </c>
      <c r="B51">
        <v>1354921</v>
      </c>
      <c r="C51" t="str">
        <f>HYPERLINK("https://ois.dk/map/1354921/sfe", "Link")</f>
        <v>Link</v>
      </c>
      <c r="D51" t="s">
        <v>120</v>
      </c>
      <c r="E51" s="17">
        <v>4.5359999999999996</v>
      </c>
      <c r="F51" t="s">
        <v>121</v>
      </c>
      <c r="G51">
        <v>0.5</v>
      </c>
      <c r="H51">
        <v>0.25</v>
      </c>
      <c r="I51">
        <v>1</v>
      </c>
      <c r="M51">
        <v>2.786</v>
      </c>
      <c r="Q51" s="1"/>
      <c r="R51" s="1">
        <v>1.98</v>
      </c>
    </row>
    <row r="52" spans="1:18" ht="15.75" customHeight="1" x14ac:dyDescent="0.25">
      <c r="A52" s="2">
        <v>1354922</v>
      </c>
      <c r="B52">
        <v>1354922</v>
      </c>
      <c r="C52" t="str">
        <f>HYPERLINK("https://ois.dk/map/1354922/sfe", "Link")</f>
        <v>Link</v>
      </c>
      <c r="D52" t="s">
        <v>122</v>
      </c>
      <c r="E52" s="17">
        <v>0.877</v>
      </c>
      <c r="F52" t="s">
        <v>123</v>
      </c>
      <c r="G52">
        <v>0.5</v>
      </c>
      <c r="M52">
        <v>0.377</v>
      </c>
      <c r="Q52" s="1"/>
      <c r="R52" s="1"/>
    </row>
    <row r="53" spans="1:18" ht="15.75" customHeight="1" x14ac:dyDescent="0.25">
      <c r="A53" s="2">
        <v>1354923</v>
      </c>
      <c r="B53">
        <v>1354923</v>
      </c>
      <c r="C53" t="str">
        <f>HYPERLINK("https://ois.dk/map/1354923/sfe", "Link")</f>
        <v>Link</v>
      </c>
      <c r="D53" t="s">
        <v>124</v>
      </c>
      <c r="E53" s="17">
        <v>0.53300000000000003</v>
      </c>
      <c r="F53" t="s">
        <v>125</v>
      </c>
      <c r="G53">
        <v>0.5</v>
      </c>
      <c r="M53">
        <v>3.3000000000000002E-2</v>
      </c>
      <c r="Q53" s="1"/>
      <c r="R53" s="1"/>
    </row>
    <row r="54" spans="1:18" ht="15.75" customHeight="1" x14ac:dyDescent="0.25">
      <c r="A54" s="2">
        <v>1354924</v>
      </c>
      <c r="B54">
        <v>1354924</v>
      </c>
      <c r="C54" t="str">
        <f>HYPERLINK("https://ois.dk/map/1354924/sfe", "Link")</f>
        <v>Link</v>
      </c>
      <c r="D54" t="s">
        <v>126</v>
      </c>
      <c r="E54" s="17">
        <v>1.893</v>
      </c>
      <c r="F54" t="s">
        <v>127</v>
      </c>
      <c r="G54">
        <v>0.5</v>
      </c>
      <c r="M54">
        <v>1.393</v>
      </c>
      <c r="Q54" s="1"/>
      <c r="R54" s="1"/>
    </row>
    <row r="55" spans="1:18" ht="15.75" customHeight="1" x14ac:dyDescent="0.25">
      <c r="A55" s="2">
        <v>1354925</v>
      </c>
      <c r="B55">
        <v>1354925</v>
      </c>
      <c r="C55" t="str">
        <f>HYPERLINK("https://ois.dk/map/1354925/sfe", "Link")</f>
        <v>Link</v>
      </c>
      <c r="D55" t="s">
        <v>128</v>
      </c>
      <c r="E55" s="17">
        <v>1.778</v>
      </c>
      <c r="F55" t="s">
        <v>129</v>
      </c>
      <c r="G55">
        <v>0.5</v>
      </c>
      <c r="H55">
        <v>0.25</v>
      </c>
      <c r="I55">
        <v>1</v>
      </c>
      <c r="M55">
        <v>2.8000000000000001E-2</v>
      </c>
      <c r="Q55" s="1"/>
      <c r="R55" s="1">
        <v>0.68</v>
      </c>
    </row>
    <row r="56" spans="1:18" ht="15.75" customHeight="1" x14ac:dyDescent="0.25">
      <c r="A56" s="2">
        <v>1354933</v>
      </c>
      <c r="B56">
        <v>1354933</v>
      </c>
      <c r="C56" t="str">
        <f>HYPERLINK("https://ois.dk/map/1354933/sfe", "Link")</f>
        <v>Link</v>
      </c>
      <c r="D56" t="s">
        <v>130</v>
      </c>
      <c r="E56" s="17">
        <v>0.75</v>
      </c>
      <c r="F56" t="s">
        <v>131</v>
      </c>
      <c r="G56">
        <v>0.5</v>
      </c>
      <c r="H56">
        <v>0.25</v>
      </c>
      <c r="Q56" s="1"/>
      <c r="R56" s="1"/>
    </row>
    <row r="57" spans="1:18" ht="15.75" customHeight="1" x14ac:dyDescent="0.25">
      <c r="A57" s="2">
        <v>2667539</v>
      </c>
      <c r="B57">
        <v>2667539</v>
      </c>
      <c r="C57" t="str">
        <f>HYPERLINK("https://ois.dk/map/2667539/sfe", "Link")</f>
        <v>Link</v>
      </c>
      <c r="D57" t="s">
        <v>132</v>
      </c>
      <c r="E57" s="17">
        <v>0.75</v>
      </c>
      <c r="F57" t="s">
        <v>133</v>
      </c>
      <c r="G57">
        <v>0.5</v>
      </c>
      <c r="H57">
        <v>0.25</v>
      </c>
      <c r="Q57" s="1"/>
      <c r="R57" s="1"/>
    </row>
    <row r="58" spans="1:18" ht="15.75" customHeight="1" x14ac:dyDescent="0.25">
      <c r="A58" s="2">
        <v>2675045</v>
      </c>
      <c r="B58">
        <v>2675045</v>
      </c>
      <c r="C58" t="str">
        <f>HYPERLINK("https://ois.dk/map/2675045/sfe", "Link")</f>
        <v>Link</v>
      </c>
      <c r="D58" t="s">
        <v>134</v>
      </c>
      <c r="E58" s="17">
        <v>0.5</v>
      </c>
      <c r="F58" t="s">
        <v>135</v>
      </c>
      <c r="G58">
        <v>0.5</v>
      </c>
      <c r="Q58" s="1"/>
      <c r="R58" s="1"/>
    </row>
    <row r="59" spans="1:18" ht="15.75" customHeight="1" x14ac:dyDescent="0.25">
      <c r="A59" s="2">
        <v>2675062</v>
      </c>
      <c r="B59">
        <v>2675062</v>
      </c>
      <c r="C59" t="str">
        <f>HYPERLINK("https://ois.dk/map/2675062/sfe", "Link")</f>
        <v>Link</v>
      </c>
      <c r="D59" t="s">
        <v>136</v>
      </c>
      <c r="E59" s="17">
        <v>0.5</v>
      </c>
      <c r="F59" t="s">
        <v>137</v>
      </c>
      <c r="G59">
        <v>0.5</v>
      </c>
      <c r="Q59" s="1"/>
      <c r="R59" s="1"/>
    </row>
    <row r="60" spans="1:18" ht="15.75" customHeight="1" x14ac:dyDescent="0.25">
      <c r="A60" s="2">
        <v>2677261</v>
      </c>
      <c r="B60">
        <v>2677261</v>
      </c>
      <c r="C60" t="str">
        <f>HYPERLINK("https://ois.dk/map/2677261/sfe", "Link")</f>
        <v>Link</v>
      </c>
      <c r="D60" t="s">
        <v>138</v>
      </c>
      <c r="E60" s="17">
        <v>0.5</v>
      </c>
      <c r="F60" t="s">
        <v>139</v>
      </c>
      <c r="G60">
        <v>0.5</v>
      </c>
      <c r="Q60" s="1"/>
      <c r="R60" s="1"/>
    </row>
    <row r="61" spans="1:18" ht="15.75" customHeight="1" x14ac:dyDescent="0.25">
      <c r="A61" s="2">
        <v>2677276</v>
      </c>
      <c r="B61">
        <v>2677276</v>
      </c>
      <c r="C61" t="str">
        <f>HYPERLINK("https://ois.dk/map/2677276/sfe", "Link")</f>
        <v>Link</v>
      </c>
      <c r="D61" t="s">
        <v>140</v>
      </c>
      <c r="E61" s="17">
        <v>0.85499999999999998</v>
      </c>
      <c r="G61">
        <v>0.5</v>
      </c>
      <c r="L61">
        <v>0.35499999999999998</v>
      </c>
      <c r="Q61" s="1"/>
      <c r="R61" s="1"/>
    </row>
    <row r="62" spans="1:18" ht="15.75" customHeight="1" x14ac:dyDescent="0.25">
      <c r="A62" s="2">
        <v>2677277</v>
      </c>
      <c r="B62">
        <v>2677277</v>
      </c>
      <c r="C62" t="str">
        <f>HYPERLINK("https://ois.dk/map/2677277/sfe", "Link")</f>
        <v>Link</v>
      </c>
      <c r="D62" t="s">
        <v>141</v>
      </c>
      <c r="E62" s="17">
        <v>0.60499999999999998</v>
      </c>
      <c r="G62">
        <v>0.5</v>
      </c>
      <c r="L62">
        <v>0.105</v>
      </c>
      <c r="Q62" s="1"/>
      <c r="R62" s="1"/>
    </row>
    <row r="63" spans="1:18" ht="15.75" customHeight="1" x14ac:dyDescent="0.25">
      <c r="A63" s="2">
        <v>2677486</v>
      </c>
      <c r="B63">
        <v>2677486</v>
      </c>
      <c r="C63" t="str">
        <f>HYPERLINK("https://ois.dk/map/2677486/sfe", "Link")</f>
        <v>Link</v>
      </c>
      <c r="D63" t="s">
        <v>142</v>
      </c>
      <c r="E63" s="17">
        <v>0.5</v>
      </c>
      <c r="F63" t="s">
        <v>143</v>
      </c>
      <c r="G63">
        <v>0.5</v>
      </c>
      <c r="Q63" s="1"/>
      <c r="R63" s="1"/>
    </row>
    <row r="64" spans="1:18" ht="15.75" customHeight="1" x14ac:dyDescent="0.25">
      <c r="A64" s="2">
        <v>2677487</v>
      </c>
      <c r="B64">
        <v>2677487</v>
      </c>
      <c r="C64" t="str">
        <f>HYPERLINK("https://ois.dk/map/2677487/sfe", "Link")</f>
        <v>Link</v>
      </c>
      <c r="D64" t="s">
        <v>144</v>
      </c>
      <c r="E64" s="17">
        <v>0.5</v>
      </c>
      <c r="G64">
        <v>0.5</v>
      </c>
      <c r="Q64" s="1"/>
      <c r="R64" s="1"/>
    </row>
    <row r="65" spans="1:18" ht="15.75" customHeight="1" x14ac:dyDescent="0.25">
      <c r="A65" s="2">
        <v>2677489</v>
      </c>
      <c r="B65">
        <v>2677489</v>
      </c>
      <c r="C65" t="str">
        <f>HYPERLINK("https://ois.dk/map/2677489/sfe", "Link")</f>
        <v>Link</v>
      </c>
      <c r="D65" t="s">
        <v>145</v>
      </c>
      <c r="E65" s="17">
        <v>1.75</v>
      </c>
      <c r="F65" t="s">
        <v>146</v>
      </c>
      <c r="G65">
        <v>0.5</v>
      </c>
      <c r="H65">
        <v>0.25</v>
      </c>
      <c r="I65">
        <v>1</v>
      </c>
      <c r="Q65" s="1"/>
      <c r="R65" s="1">
        <v>0.52</v>
      </c>
    </row>
    <row r="66" spans="1:18" ht="15.75" customHeight="1" x14ac:dyDescent="0.25">
      <c r="A66" s="2">
        <v>2677490</v>
      </c>
      <c r="B66">
        <v>2677490</v>
      </c>
      <c r="C66" t="str">
        <f>HYPERLINK("https://ois.dk/map/2677490/sfe", "Link")</f>
        <v>Link</v>
      </c>
      <c r="D66" t="s">
        <v>134</v>
      </c>
      <c r="E66" s="17">
        <v>0.75</v>
      </c>
      <c r="F66" t="s">
        <v>147</v>
      </c>
      <c r="G66">
        <v>0.5</v>
      </c>
      <c r="H66">
        <v>0.25</v>
      </c>
      <c r="Q66" s="1"/>
      <c r="R66" s="1"/>
    </row>
    <row r="67" spans="1:18" ht="15.75" customHeight="1" x14ac:dyDescent="0.25">
      <c r="A67" s="2">
        <v>2677497</v>
      </c>
      <c r="B67">
        <v>2677497</v>
      </c>
      <c r="C67" t="str">
        <f>HYPERLINK("https://ois.dk/map/2677497/sfe", "Link")</f>
        <v>Link</v>
      </c>
      <c r="D67" t="s">
        <v>148</v>
      </c>
      <c r="E67" s="17">
        <v>1.75</v>
      </c>
      <c r="F67" t="s">
        <v>149</v>
      </c>
      <c r="G67">
        <v>0.5</v>
      </c>
      <c r="H67">
        <v>0.25</v>
      </c>
      <c r="I67">
        <v>1</v>
      </c>
      <c r="Q67" s="1"/>
      <c r="R67" s="1">
        <v>0.6</v>
      </c>
    </row>
    <row r="68" spans="1:18" ht="15.75" customHeight="1" x14ac:dyDescent="0.25">
      <c r="A68" s="2">
        <v>2677500</v>
      </c>
      <c r="B68">
        <v>2677500</v>
      </c>
      <c r="C68" t="str">
        <f>HYPERLINK("https://ois.dk/map/2677500/sfe", "Link")</f>
        <v>Link</v>
      </c>
      <c r="D68" t="s">
        <v>150</v>
      </c>
      <c r="E68" s="17">
        <v>1.75</v>
      </c>
      <c r="F68" t="s">
        <v>151</v>
      </c>
      <c r="G68">
        <v>0.5</v>
      </c>
      <c r="H68">
        <v>0.25</v>
      </c>
      <c r="I68">
        <v>1</v>
      </c>
      <c r="Q68" s="1"/>
      <c r="R68" s="1">
        <v>-0.04</v>
      </c>
    </row>
    <row r="69" spans="1:18" ht="15.75" customHeight="1" x14ac:dyDescent="0.25">
      <c r="A69" s="2">
        <v>2677502</v>
      </c>
      <c r="B69">
        <v>2677502</v>
      </c>
      <c r="C69" t="str">
        <f>HYPERLINK("https://ois.dk/map/2677502/sfe", "Link")</f>
        <v>Link</v>
      </c>
      <c r="D69" t="s">
        <v>152</v>
      </c>
      <c r="E69" s="17">
        <v>1.75</v>
      </c>
      <c r="F69" t="s">
        <v>153</v>
      </c>
      <c r="G69">
        <v>0.5</v>
      </c>
      <c r="H69">
        <v>0.25</v>
      </c>
      <c r="I69">
        <v>1</v>
      </c>
      <c r="Q69" s="1"/>
      <c r="R69" s="1">
        <v>0.62</v>
      </c>
    </row>
    <row r="70" spans="1:18" ht="15.75" customHeight="1" x14ac:dyDescent="0.25">
      <c r="A70" s="2">
        <v>2677504</v>
      </c>
      <c r="B70">
        <v>2677504</v>
      </c>
      <c r="C70" t="str">
        <f>HYPERLINK("https://ois.dk/map/2677504/sfe", "Link")</f>
        <v>Link</v>
      </c>
      <c r="D70" t="s">
        <v>154</v>
      </c>
      <c r="E70" s="17">
        <v>1.75</v>
      </c>
      <c r="F70" t="s">
        <v>155</v>
      </c>
      <c r="G70">
        <v>0.5</v>
      </c>
      <c r="H70">
        <v>0.25</v>
      </c>
      <c r="I70">
        <v>1</v>
      </c>
      <c r="Q70" s="1"/>
      <c r="R70" s="1">
        <v>0.88</v>
      </c>
    </row>
    <row r="71" spans="1:18" ht="15.75" customHeight="1" x14ac:dyDescent="0.25">
      <c r="A71" s="2">
        <v>2677505</v>
      </c>
      <c r="B71">
        <v>2677505</v>
      </c>
      <c r="C71" t="str">
        <f>HYPERLINK("https://ois.dk/map/2677505/sfe", "Link")</f>
        <v>Link</v>
      </c>
      <c r="D71" t="s">
        <v>156</v>
      </c>
      <c r="E71" s="17">
        <v>0.75</v>
      </c>
      <c r="F71" t="s">
        <v>157</v>
      </c>
      <c r="G71">
        <v>0.5</v>
      </c>
      <c r="H71">
        <v>0.25</v>
      </c>
      <c r="Q71" s="1"/>
      <c r="R71" s="1"/>
    </row>
    <row r="72" spans="1:18" ht="15.75" customHeight="1" x14ac:dyDescent="0.25">
      <c r="A72" s="2">
        <v>2677507</v>
      </c>
      <c r="B72">
        <v>2677507</v>
      </c>
      <c r="C72" t="str">
        <f>HYPERLINK("https://ois.dk/map/2677507/sfe", "Link")</f>
        <v>Link</v>
      </c>
      <c r="D72" t="s">
        <v>158</v>
      </c>
      <c r="E72" s="17">
        <v>1.75</v>
      </c>
      <c r="F72" t="s">
        <v>159</v>
      </c>
      <c r="G72">
        <v>0.5</v>
      </c>
      <c r="H72">
        <v>0.25</v>
      </c>
      <c r="I72">
        <v>1</v>
      </c>
      <c r="Q72" s="1"/>
      <c r="R72" s="1">
        <v>0.24</v>
      </c>
    </row>
    <row r="73" spans="1:18" ht="15.75" customHeight="1" x14ac:dyDescent="0.25">
      <c r="A73" s="2">
        <v>2677510</v>
      </c>
      <c r="B73">
        <v>2677510</v>
      </c>
      <c r="C73" t="str">
        <f>HYPERLINK("https://ois.dk/map/2677510/sfe", "Link")</f>
        <v>Link</v>
      </c>
      <c r="D73" t="s">
        <v>160</v>
      </c>
      <c r="E73" s="17">
        <v>1.75</v>
      </c>
      <c r="F73" t="s">
        <v>161</v>
      </c>
      <c r="G73">
        <v>0.5</v>
      </c>
      <c r="H73">
        <v>0.25</v>
      </c>
      <c r="I73">
        <v>1</v>
      </c>
      <c r="Q73" s="1"/>
      <c r="R73" s="1">
        <v>0.37</v>
      </c>
    </row>
    <row r="74" spans="1:18" ht="15.75" customHeight="1" x14ac:dyDescent="0.25">
      <c r="A74" s="2">
        <v>2677511</v>
      </c>
      <c r="B74">
        <v>2677511</v>
      </c>
      <c r="C74" t="str">
        <f>HYPERLINK("https://ois.dk/map/2677511/sfe", "Link")</f>
        <v>Link</v>
      </c>
      <c r="D74" t="s">
        <v>162</v>
      </c>
      <c r="E74" s="17">
        <v>0.5</v>
      </c>
      <c r="F74" t="s">
        <v>163</v>
      </c>
      <c r="G74">
        <v>0.5</v>
      </c>
      <c r="Q74" s="1"/>
      <c r="R74" s="1"/>
    </row>
    <row r="75" spans="1:18" ht="15.75" customHeight="1" x14ac:dyDescent="0.25">
      <c r="A75" s="2">
        <v>2677515</v>
      </c>
      <c r="B75">
        <v>2677515</v>
      </c>
      <c r="C75" t="str">
        <f>HYPERLINK("https://ois.dk/map/2677515/sfe", "Link")</f>
        <v>Link</v>
      </c>
      <c r="D75" t="s">
        <v>164</v>
      </c>
      <c r="E75" s="17">
        <v>1.75</v>
      </c>
      <c r="F75" t="s">
        <v>165</v>
      </c>
      <c r="G75">
        <v>0.5</v>
      </c>
      <c r="H75">
        <v>0.25</v>
      </c>
      <c r="I75">
        <v>1</v>
      </c>
      <c r="Q75" s="1"/>
      <c r="R75" s="1">
        <v>0.4</v>
      </c>
    </row>
    <row r="76" spans="1:18" ht="15.75" customHeight="1" x14ac:dyDescent="0.25">
      <c r="A76" s="2">
        <v>2677519</v>
      </c>
      <c r="B76">
        <v>2677519</v>
      </c>
      <c r="C76" t="str">
        <f>HYPERLINK("https://ois.dk/map/2677519/sfe", "Link")</f>
        <v>Link</v>
      </c>
      <c r="D76" t="s">
        <v>166</v>
      </c>
      <c r="E76" s="17">
        <v>1.75</v>
      </c>
      <c r="F76" t="s">
        <v>167</v>
      </c>
      <c r="G76">
        <v>0.5</v>
      </c>
      <c r="H76">
        <v>0.25</v>
      </c>
      <c r="I76">
        <v>1</v>
      </c>
      <c r="Q76" s="1"/>
      <c r="R76" s="1">
        <v>0.37</v>
      </c>
    </row>
    <row r="77" spans="1:18" ht="15.75" customHeight="1" x14ac:dyDescent="0.25">
      <c r="A77" s="2">
        <v>2677520</v>
      </c>
      <c r="B77">
        <v>2677520</v>
      </c>
      <c r="C77" t="str">
        <f>HYPERLINK("https://ois.dk/map/2677520/sfe", "Link")</f>
        <v>Link</v>
      </c>
      <c r="D77" t="s">
        <v>168</v>
      </c>
      <c r="E77" s="17">
        <v>1.75</v>
      </c>
      <c r="F77" t="s">
        <v>169</v>
      </c>
      <c r="G77">
        <v>0.5</v>
      </c>
      <c r="H77">
        <v>0.25</v>
      </c>
      <c r="I77">
        <v>1</v>
      </c>
      <c r="Q77" s="1"/>
      <c r="R77" s="1">
        <v>0.42</v>
      </c>
    </row>
    <row r="78" spans="1:18" ht="15.75" customHeight="1" x14ac:dyDescent="0.25">
      <c r="A78" s="2">
        <v>2677523</v>
      </c>
      <c r="B78">
        <v>2677523</v>
      </c>
      <c r="C78" t="str">
        <f>HYPERLINK("https://ois.dk/map/2677523/sfe", "Link")</f>
        <v>Link</v>
      </c>
      <c r="D78" t="s">
        <v>170</v>
      </c>
      <c r="E78" s="17">
        <v>1.75</v>
      </c>
      <c r="F78" t="s">
        <v>171</v>
      </c>
      <c r="G78">
        <v>0.5</v>
      </c>
      <c r="H78">
        <v>0.25</v>
      </c>
      <c r="I78">
        <v>1</v>
      </c>
      <c r="Q78" s="1"/>
      <c r="R78" s="1">
        <v>0.93</v>
      </c>
    </row>
    <row r="79" spans="1:18" ht="15.75" customHeight="1" x14ac:dyDescent="0.25">
      <c r="A79" s="2">
        <v>2677526</v>
      </c>
      <c r="B79">
        <v>2677526</v>
      </c>
      <c r="C79" t="str">
        <f>HYPERLINK("https://ois.dk/map/2677526/sfe", "Link")</f>
        <v>Link</v>
      </c>
      <c r="D79" t="s">
        <v>172</v>
      </c>
      <c r="E79" s="17">
        <v>1.75</v>
      </c>
      <c r="F79" t="s">
        <v>173</v>
      </c>
      <c r="G79">
        <v>0.5</v>
      </c>
      <c r="H79">
        <v>0.25</v>
      </c>
      <c r="I79">
        <v>1</v>
      </c>
      <c r="Q79" s="1"/>
      <c r="R79" s="1">
        <v>0.31</v>
      </c>
    </row>
    <row r="80" spans="1:18" ht="15.75" customHeight="1" x14ac:dyDescent="0.25">
      <c r="A80" s="2">
        <v>2677527</v>
      </c>
      <c r="B80">
        <v>2677527</v>
      </c>
      <c r="C80" t="str">
        <f>HYPERLINK("https://ois.dk/map/2677527/sfe", "Link")</f>
        <v>Link</v>
      </c>
      <c r="D80" t="s">
        <v>174</v>
      </c>
      <c r="E80" s="17">
        <v>1.75</v>
      </c>
      <c r="F80" t="s">
        <v>175</v>
      </c>
      <c r="G80">
        <v>0.5</v>
      </c>
      <c r="H80">
        <v>0.25</v>
      </c>
      <c r="I80">
        <v>1</v>
      </c>
      <c r="Q80" s="1"/>
      <c r="R80" s="1">
        <v>0.53</v>
      </c>
    </row>
    <row r="81" spans="1:18" ht="15.75" customHeight="1" x14ac:dyDescent="0.25">
      <c r="A81" s="2">
        <v>2677529</v>
      </c>
      <c r="B81">
        <v>2677529</v>
      </c>
      <c r="C81" t="str">
        <f>HYPERLINK("https://ois.dk/map/2677529/sfe", "Link")</f>
        <v>Link</v>
      </c>
      <c r="D81" t="s">
        <v>176</v>
      </c>
      <c r="E81" s="17">
        <v>1.75</v>
      </c>
      <c r="F81" t="s">
        <v>177</v>
      </c>
      <c r="G81">
        <v>0.5</v>
      </c>
      <c r="H81">
        <v>0.25</v>
      </c>
      <c r="I81">
        <v>1</v>
      </c>
      <c r="Q81" s="1"/>
      <c r="R81" s="1">
        <v>-0.28000000000000003</v>
      </c>
    </row>
    <row r="82" spans="1:18" ht="15.75" customHeight="1" x14ac:dyDescent="0.25">
      <c r="A82" s="2">
        <v>2677531</v>
      </c>
      <c r="B82">
        <v>2677531</v>
      </c>
      <c r="C82" t="str">
        <f>HYPERLINK("https://ois.dk/map/2677531/sfe", "Link")</f>
        <v>Link</v>
      </c>
      <c r="D82" t="s">
        <v>178</v>
      </c>
      <c r="E82" s="17">
        <v>1.75</v>
      </c>
      <c r="F82" t="s">
        <v>179</v>
      </c>
      <c r="G82">
        <v>0.5</v>
      </c>
      <c r="H82">
        <v>0.25</v>
      </c>
      <c r="I82">
        <v>1</v>
      </c>
      <c r="Q82" s="1"/>
      <c r="R82" s="1">
        <v>0.1</v>
      </c>
    </row>
    <row r="83" spans="1:18" ht="15.75" customHeight="1" x14ac:dyDescent="0.25">
      <c r="A83" s="2">
        <v>2677535</v>
      </c>
      <c r="B83">
        <v>2677535</v>
      </c>
      <c r="C83" t="str">
        <f>HYPERLINK("https://ois.dk/map/2677535/sfe", "Link")</f>
        <v>Link</v>
      </c>
      <c r="D83" t="s">
        <v>180</v>
      </c>
      <c r="E83" s="17">
        <v>0.5</v>
      </c>
      <c r="G83">
        <v>0.5</v>
      </c>
      <c r="Q83" s="1"/>
      <c r="R83" s="1"/>
    </row>
    <row r="84" spans="1:18" ht="15.75" customHeight="1" x14ac:dyDescent="0.25">
      <c r="A84" s="2">
        <v>2677537</v>
      </c>
      <c r="B84">
        <v>2677537</v>
      </c>
      <c r="C84" t="str">
        <f>HYPERLINK("https://ois.dk/map/2677537/sfe", "Link")</f>
        <v>Link</v>
      </c>
      <c r="D84" t="s">
        <v>181</v>
      </c>
      <c r="E84" s="17">
        <v>1.75</v>
      </c>
      <c r="F84" t="s">
        <v>182</v>
      </c>
      <c r="G84">
        <v>0.5</v>
      </c>
      <c r="H84">
        <v>0.25</v>
      </c>
      <c r="I84">
        <v>1</v>
      </c>
      <c r="Q84" s="1"/>
      <c r="R84" s="1">
        <v>0.22</v>
      </c>
    </row>
    <row r="85" spans="1:18" ht="15.75" customHeight="1" x14ac:dyDescent="0.25">
      <c r="A85" s="2">
        <v>2677540</v>
      </c>
      <c r="B85">
        <v>2677540</v>
      </c>
      <c r="C85" t="str">
        <f>HYPERLINK("https://ois.dk/map/2677540/sfe", "Link")</f>
        <v>Link</v>
      </c>
      <c r="D85" t="s">
        <v>183</v>
      </c>
      <c r="E85" s="17">
        <v>1.75</v>
      </c>
      <c r="F85" t="s">
        <v>184</v>
      </c>
      <c r="G85">
        <v>0.5</v>
      </c>
      <c r="H85">
        <v>0.25</v>
      </c>
      <c r="I85">
        <v>1</v>
      </c>
      <c r="Q85" s="1"/>
      <c r="R85" s="1">
        <v>0.36</v>
      </c>
    </row>
    <row r="86" spans="1:18" ht="15.75" customHeight="1" x14ac:dyDescent="0.25">
      <c r="A86" s="2">
        <v>2677541</v>
      </c>
      <c r="B86">
        <v>2677541</v>
      </c>
      <c r="C86" t="str">
        <f>HYPERLINK("https://ois.dk/map/2677541/sfe", "Link")</f>
        <v>Link</v>
      </c>
      <c r="D86" t="s">
        <v>185</v>
      </c>
      <c r="E86" s="17">
        <v>1.75</v>
      </c>
      <c r="F86" t="s">
        <v>186</v>
      </c>
      <c r="G86">
        <v>0.5</v>
      </c>
      <c r="H86">
        <v>0.25</v>
      </c>
      <c r="I86">
        <v>1</v>
      </c>
      <c r="Q86" s="1"/>
      <c r="R86" s="1">
        <v>0.3</v>
      </c>
    </row>
    <row r="87" spans="1:18" ht="15.75" customHeight="1" x14ac:dyDescent="0.25">
      <c r="A87" s="2">
        <v>2677545</v>
      </c>
      <c r="B87">
        <v>2677545</v>
      </c>
      <c r="C87" t="str">
        <f>HYPERLINK("https://ois.dk/map/2677545/sfe", "Link")</f>
        <v>Link</v>
      </c>
      <c r="D87" t="s">
        <v>187</v>
      </c>
      <c r="E87" s="17">
        <v>0.75</v>
      </c>
      <c r="F87" t="s">
        <v>188</v>
      </c>
      <c r="G87">
        <v>0.5</v>
      </c>
      <c r="H87">
        <v>0.25</v>
      </c>
      <c r="Q87" s="1"/>
      <c r="R87" s="1"/>
    </row>
    <row r="88" spans="1:18" ht="15.75" customHeight="1" x14ac:dyDescent="0.25">
      <c r="A88" s="2">
        <v>2677547</v>
      </c>
      <c r="B88">
        <v>2677547</v>
      </c>
      <c r="C88" t="str">
        <f>HYPERLINK("https://ois.dk/map/2677547/sfe", "Link")</f>
        <v>Link</v>
      </c>
      <c r="D88" t="s">
        <v>189</v>
      </c>
      <c r="E88" s="17">
        <v>1.75</v>
      </c>
      <c r="F88" t="s">
        <v>190</v>
      </c>
      <c r="G88">
        <v>0.5</v>
      </c>
      <c r="H88">
        <v>0.25</v>
      </c>
      <c r="I88">
        <v>1</v>
      </c>
      <c r="Q88" s="1"/>
      <c r="R88" s="1">
        <v>0.34</v>
      </c>
    </row>
    <row r="89" spans="1:18" ht="15.75" customHeight="1" x14ac:dyDescent="0.25">
      <c r="A89" s="2">
        <v>2677548</v>
      </c>
      <c r="B89">
        <v>2677548</v>
      </c>
      <c r="C89" t="str">
        <f>HYPERLINK("https://ois.dk/map/2677548/sfe", "Link")</f>
        <v>Link</v>
      </c>
      <c r="D89" t="s">
        <v>191</v>
      </c>
      <c r="E89" s="17">
        <v>1.75</v>
      </c>
      <c r="F89" t="s">
        <v>192</v>
      </c>
      <c r="G89">
        <v>0.5</v>
      </c>
      <c r="H89">
        <v>0.25</v>
      </c>
      <c r="I89">
        <v>1</v>
      </c>
      <c r="Q89" s="1"/>
      <c r="R89" s="1">
        <v>0.66</v>
      </c>
    </row>
    <row r="90" spans="1:18" ht="15.75" customHeight="1" x14ac:dyDescent="0.25">
      <c r="A90" s="2">
        <v>2677549</v>
      </c>
      <c r="B90">
        <v>2677549</v>
      </c>
      <c r="C90" t="str">
        <f>HYPERLINK("https://ois.dk/map/2677549/sfe", "Link")</f>
        <v>Link</v>
      </c>
      <c r="D90" t="s">
        <v>193</v>
      </c>
      <c r="E90" s="17">
        <v>1.75</v>
      </c>
      <c r="F90" t="s">
        <v>194</v>
      </c>
      <c r="G90">
        <v>0.5</v>
      </c>
      <c r="H90">
        <v>0.25</v>
      </c>
      <c r="I90">
        <v>1</v>
      </c>
      <c r="Q90" s="1"/>
      <c r="R90" s="1">
        <v>0.67</v>
      </c>
    </row>
    <row r="91" spans="1:18" ht="15.75" customHeight="1" x14ac:dyDescent="0.25">
      <c r="A91" s="2">
        <v>2677550</v>
      </c>
      <c r="B91">
        <v>2677550</v>
      </c>
      <c r="C91" t="str">
        <f>HYPERLINK("https://ois.dk/map/2677550/sfe", "Link")</f>
        <v>Link</v>
      </c>
      <c r="D91" t="s">
        <v>195</v>
      </c>
      <c r="E91" s="17">
        <v>1.75</v>
      </c>
      <c r="F91" t="s">
        <v>196</v>
      </c>
      <c r="G91">
        <v>0.5</v>
      </c>
      <c r="H91">
        <v>0.25</v>
      </c>
      <c r="I91">
        <v>1</v>
      </c>
      <c r="Q91" s="1"/>
      <c r="R91" s="1">
        <v>1.1100000000000001</v>
      </c>
    </row>
    <row r="92" spans="1:18" ht="15.75" customHeight="1" x14ac:dyDescent="0.25">
      <c r="A92" s="2">
        <v>2677552</v>
      </c>
      <c r="B92">
        <v>2677552</v>
      </c>
      <c r="C92" t="str">
        <f>HYPERLINK("https://ois.dk/map/2677552/sfe", "Link")</f>
        <v>Link</v>
      </c>
      <c r="D92" t="s">
        <v>197</v>
      </c>
      <c r="E92" s="17">
        <v>1.75</v>
      </c>
      <c r="F92" t="s">
        <v>198</v>
      </c>
      <c r="G92">
        <v>0.5</v>
      </c>
      <c r="H92">
        <v>0.25</v>
      </c>
      <c r="I92">
        <v>1</v>
      </c>
      <c r="Q92" s="1"/>
      <c r="R92" s="1">
        <v>0.32</v>
      </c>
    </row>
    <row r="93" spans="1:18" ht="15.75" customHeight="1" x14ac:dyDescent="0.25">
      <c r="A93" s="2">
        <v>2677553</v>
      </c>
      <c r="B93">
        <v>2677553</v>
      </c>
      <c r="C93" t="str">
        <f>HYPERLINK("https://ois.dk/map/2677553/sfe", "Link")</f>
        <v>Link</v>
      </c>
      <c r="D93" t="s">
        <v>199</v>
      </c>
      <c r="E93" s="17">
        <v>1.75</v>
      </c>
      <c r="F93" t="s">
        <v>200</v>
      </c>
      <c r="G93">
        <v>0.5</v>
      </c>
      <c r="H93">
        <v>0.25</v>
      </c>
      <c r="I93">
        <v>1</v>
      </c>
      <c r="Q93" s="1"/>
      <c r="R93" s="1">
        <v>0.39</v>
      </c>
    </row>
    <row r="94" spans="1:18" ht="15.75" customHeight="1" x14ac:dyDescent="0.25">
      <c r="A94" s="2">
        <v>2677554</v>
      </c>
      <c r="B94">
        <v>2677554</v>
      </c>
      <c r="C94" t="str">
        <f>HYPERLINK("https://ois.dk/map/2677554/sfe", "Link")</f>
        <v>Link</v>
      </c>
      <c r="D94" t="s">
        <v>201</v>
      </c>
      <c r="E94" s="17">
        <v>1.75</v>
      </c>
      <c r="F94" t="s">
        <v>202</v>
      </c>
      <c r="G94">
        <v>0.5</v>
      </c>
      <c r="H94">
        <v>0.25</v>
      </c>
      <c r="I94">
        <v>1</v>
      </c>
      <c r="Q94" s="1"/>
      <c r="R94" s="1">
        <v>0.85</v>
      </c>
    </row>
    <row r="95" spans="1:18" ht="15.75" customHeight="1" x14ac:dyDescent="0.25">
      <c r="A95" s="2">
        <v>2677557</v>
      </c>
      <c r="B95">
        <v>2677557</v>
      </c>
      <c r="C95" t="str">
        <f>HYPERLINK("https://ois.dk/map/2677557/sfe", "Link")</f>
        <v>Link</v>
      </c>
      <c r="D95" t="s">
        <v>203</v>
      </c>
      <c r="E95" s="17">
        <v>1.75</v>
      </c>
      <c r="F95" t="s">
        <v>204</v>
      </c>
      <c r="G95">
        <v>0.5</v>
      </c>
      <c r="H95">
        <v>0.25</v>
      </c>
      <c r="I95">
        <v>1</v>
      </c>
      <c r="Q95" s="1"/>
      <c r="R95" s="1">
        <v>0.46</v>
      </c>
    </row>
    <row r="96" spans="1:18" ht="15.75" customHeight="1" x14ac:dyDescent="0.25">
      <c r="A96" s="2">
        <v>2677560</v>
      </c>
      <c r="B96">
        <v>2677560</v>
      </c>
      <c r="C96" t="str">
        <f>HYPERLINK("https://ois.dk/map/2677560/sfe", "Link")</f>
        <v>Link</v>
      </c>
      <c r="D96" t="s">
        <v>205</v>
      </c>
      <c r="E96" s="17">
        <v>1.75</v>
      </c>
      <c r="F96" t="s">
        <v>206</v>
      </c>
      <c r="G96">
        <v>0.5</v>
      </c>
      <c r="H96">
        <v>0.25</v>
      </c>
      <c r="I96">
        <v>1</v>
      </c>
      <c r="Q96" s="1"/>
      <c r="R96" s="1">
        <v>0.33</v>
      </c>
    </row>
    <row r="97" spans="1:18" ht="15.75" customHeight="1" x14ac:dyDescent="0.25">
      <c r="A97" s="2">
        <v>2677561</v>
      </c>
      <c r="B97">
        <v>2677561</v>
      </c>
      <c r="C97" t="str">
        <f>HYPERLINK("https://ois.dk/map/2677561/sfe", "Link")</f>
        <v>Link</v>
      </c>
      <c r="D97" t="s">
        <v>207</v>
      </c>
      <c r="E97" s="17">
        <v>1.75</v>
      </c>
      <c r="F97" t="s">
        <v>208</v>
      </c>
      <c r="G97">
        <v>0.5</v>
      </c>
      <c r="H97">
        <v>0.25</v>
      </c>
      <c r="I97">
        <v>1</v>
      </c>
      <c r="Q97" s="1"/>
      <c r="R97" s="1">
        <v>0.32</v>
      </c>
    </row>
    <row r="98" spans="1:18" ht="15.75" customHeight="1" x14ac:dyDescent="0.25">
      <c r="A98" s="2">
        <v>2677567</v>
      </c>
      <c r="B98">
        <v>2677567</v>
      </c>
      <c r="C98" t="str">
        <f>HYPERLINK("https://ois.dk/map/2677567/sfe", "Link")</f>
        <v>Link</v>
      </c>
      <c r="D98" t="s">
        <v>209</v>
      </c>
      <c r="E98" s="17">
        <v>1.75</v>
      </c>
      <c r="F98" t="s">
        <v>210</v>
      </c>
      <c r="G98">
        <v>0.5</v>
      </c>
      <c r="H98">
        <v>0.25</v>
      </c>
      <c r="I98">
        <v>1</v>
      </c>
      <c r="Q98" s="1"/>
      <c r="R98" s="1">
        <v>0.13</v>
      </c>
    </row>
    <row r="99" spans="1:18" ht="15.75" customHeight="1" x14ac:dyDescent="0.25">
      <c r="A99" s="2">
        <v>2677568</v>
      </c>
      <c r="B99">
        <v>2677568</v>
      </c>
      <c r="C99" t="str">
        <f>HYPERLINK("https://ois.dk/map/2677568/sfe", "Link")</f>
        <v>Link</v>
      </c>
      <c r="D99" t="s">
        <v>211</v>
      </c>
      <c r="E99" s="17">
        <v>0.5</v>
      </c>
      <c r="F99" t="s">
        <v>212</v>
      </c>
      <c r="G99">
        <v>0.5</v>
      </c>
      <c r="Q99" s="1"/>
      <c r="R99" s="1"/>
    </row>
    <row r="100" spans="1:18" ht="15.75" customHeight="1" x14ac:dyDescent="0.25">
      <c r="A100" s="2">
        <v>2677569</v>
      </c>
      <c r="B100">
        <v>2677569</v>
      </c>
      <c r="C100" t="str">
        <f>HYPERLINK("https://ois.dk/map/2677569/sfe", "Link")</f>
        <v>Link</v>
      </c>
      <c r="D100" t="s">
        <v>213</v>
      </c>
      <c r="E100" s="17">
        <v>1.75</v>
      </c>
      <c r="F100" t="s">
        <v>214</v>
      </c>
      <c r="G100">
        <v>0.5</v>
      </c>
      <c r="H100">
        <v>0.25</v>
      </c>
      <c r="I100">
        <v>1</v>
      </c>
      <c r="Q100" s="1"/>
      <c r="R100" s="1">
        <v>-0.08</v>
      </c>
    </row>
    <row r="101" spans="1:18" ht="15.75" customHeight="1" x14ac:dyDescent="0.25">
      <c r="A101" s="2">
        <v>2677571</v>
      </c>
      <c r="B101">
        <v>2677571</v>
      </c>
      <c r="C101" t="str">
        <f>HYPERLINK("https://ois.dk/map/2677571/sfe", "Link")</f>
        <v>Link</v>
      </c>
      <c r="D101" t="s">
        <v>215</v>
      </c>
      <c r="E101" s="17">
        <v>1.75</v>
      </c>
      <c r="F101" t="s">
        <v>216</v>
      </c>
      <c r="G101">
        <v>0.5</v>
      </c>
      <c r="H101">
        <v>0.25</v>
      </c>
      <c r="I101">
        <v>1</v>
      </c>
      <c r="Q101" s="1"/>
      <c r="R101" s="1">
        <v>0.4</v>
      </c>
    </row>
    <row r="102" spans="1:18" ht="15.75" customHeight="1" x14ac:dyDescent="0.25">
      <c r="A102" s="2">
        <v>2677572</v>
      </c>
      <c r="B102">
        <v>2677572</v>
      </c>
      <c r="C102" t="str">
        <f>HYPERLINK("https://ois.dk/map/2677572/sfe", "Link")</f>
        <v>Link</v>
      </c>
      <c r="D102" t="s">
        <v>217</v>
      </c>
      <c r="E102" s="17">
        <v>1.75</v>
      </c>
      <c r="F102" t="s">
        <v>218</v>
      </c>
      <c r="G102">
        <v>0.5</v>
      </c>
      <c r="H102">
        <v>0.25</v>
      </c>
      <c r="I102">
        <v>1</v>
      </c>
      <c r="Q102" s="1"/>
      <c r="R102" s="1">
        <v>0.15</v>
      </c>
    </row>
    <row r="103" spans="1:18" ht="15.75" customHeight="1" x14ac:dyDescent="0.25">
      <c r="A103" s="2">
        <v>2677573</v>
      </c>
      <c r="B103">
        <v>2677573</v>
      </c>
      <c r="C103" t="str">
        <f>HYPERLINK("https://ois.dk/map/2677573/sfe", "Link")</f>
        <v>Link</v>
      </c>
      <c r="D103" t="s">
        <v>219</v>
      </c>
      <c r="E103" s="17">
        <v>1.75</v>
      </c>
      <c r="F103" t="s">
        <v>220</v>
      </c>
      <c r="G103">
        <v>0.5</v>
      </c>
      <c r="H103">
        <v>0.25</v>
      </c>
      <c r="I103">
        <v>1</v>
      </c>
      <c r="Q103" s="1"/>
      <c r="R103" s="1">
        <v>0.22</v>
      </c>
    </row>
    <row r="104" spans="1:18" ht="15.75" customHeight="1" x14ac:dyDescent="0.25">
      <c r="A104" s="2">
        <v>2677576</v>
      </c>
      <c r="B104">
        <v>2677576</v>
      </c>
      <c r="C104" t="str">
        <f>HYPERLINK("https://ois.dk/map/2677576/sfe", "Link")</f>
        <v>Link</v>
      </c>
      <c r="D104" t="s">
        <v>221</v>
      </c>
      <c r="E104" s="17">
        <v>1.75</v>
      </c>
      <c r="F104" t="s">
        <v>222</v>
      </c>
      <c r="G104">
        <v>0.5</v>
      </c>
      <c r="H104">
        <v>0.25</v>
      </c>
      <c r="I104">
        <v>1</v>
      </c>
      <c r="Q104" s="1"/>
      <c r="R104" s="1">
        <v>0.19</v>
      </c>
    </row>
    <row r="105" spans="1:18" ht="15.75" customHeight="1" x14ac:dyDescent="0.25">
      <c r="A105" s="2">
        <v>2677757</v>
      </c>
      <c r="B105">
        <v>2677757</v>
      </c>
      <c r="C105" t="str">
        <f>HYPERLINK("https://ois.dk/map/2677757/sfe", "Link")</f>
        <v>Link</v>
      </c>
      <c r="D105" t="s">
        <v>142</v>
      </c>
      <c r="E105" s="17">
        <v>0.75</v>
      </c>
      <c r="F105" t="s">
        <v>223</v>
      </c>
      <c r="G105">
        <v>0.5</v>
      </c>
      <c r="H105">
        <v>0.25</v>
      </c>
      <c r="Q105" s="1"/>
      <c r="R105" s="1"/>
    </row>
    <row r="106" spans="1:18" ht="15.75" customHeight="1" x14ac:dyDescent="0.25">
      <c r="A106" s="2">
        <v>2677765</v>
      </c>
      <c r="B106">
        <v>2677765</v>
      </c>
      <c r="C106" t="str">
        <f>HYPERLINK("https://ois.dk/map/2677765/sfe", "Link")</f>
        <v>Link</v>
      </c>
      <c r="D106" t="s">
        <v>224</v>
      </c>
      <c r="E106" s="17">
        <v>1.75</v>
      </c>
      <c r="F106" t="s">
        <v>225</v>
      </c>
      <c r="G106">
        <v>0.5</v>
      </c>
      <c r="H106">
        <v>0.25</v>
      </c>
      <c r="I106">
        <v>1</v>
      </c>
      <c r="Q106" s="1"/>
      <c r="R106" s="1">
        <v>1.7</v>
      </c>
    </row>
    <row r="107" spans="1:18" ht="15.75" customHeight="1" x14ac:dyDescent="0.25">
      <c r="A107" s="2">
        <v>2677770</v>
      </c>
      <c r="B107">
        <v>2677770</v>
      </c>
      <c r="C107" t="str">
        <f>HYPERLINK("https://ois.dk/map/2677770/sfe", "Link")</f>
        <v>Link</v>
      </c>
      <c r="D107" t="s">
        <v>226</v>
      </c>
      <c r="E107" s="17">
        <v>0.75</v>
      </c>
      <c r="F107" t="s">
        <v>227</v>
      </c>
      <c r="G107">
        <v>0.5</v>
      </c>
      <c r="H107">
        <v>0.25</v>
      </c>
      <c r="Q107" s="1"/>
      <c r="R107" s="1"/>
    </row>
    <row r="108" spans="1:18" ht="15.75" customHeight="1" x14ac:dyDescent="0.25">
      <c r="A108" s="2">
        <v>2677774</v>
      </c>
      <c r="B108">
        <v>2677774</v>
      </c>
      <c r="C108" t="str">
        <f>HYPERLINK("https://ois.dk/map/2677774/sfe", "Link")</f>
        <v>Link</v>
      </c>
      <c r="D108" t="s">
        <v>228</v>
      </c>
      <c r="E108" s="17">
        <v>0.5</v>
      </c>
      <c r="F108" t="s">
        <v>229</v>
      </c>
      <c r="G108">
        <v>0.5</v>
      </c>
      <c r="Q108" s="1"/>
      <c r="R108" s="1"/>
    </row>
    <row r="109" spans="1:18" ht="15.75" customHeight="1" x14ac:dyDescent="0.25">
      <c r="A109" s="2">
        <v>2677775</v>
      </c>
      <c r="B109">
        <v>2677775</v>
      </c>
      <c r="C109" t="str">
        <f>HYPERLINK("https://ois.dk/map/2677775/sfe", "Link")</f>
        <v>Link</v>
      </c>
      <c r="D109" t="s">
        <v>230</v>
      </c>
      <c r="E109" s="17">
        <v>1.75</v>
      </c>
      <c r="F109" t="s">
        <v>231</v>
      </c>
      <c r="G109">
        <v>0.5</v>
      </c>
      <c r="H109">
        <v>0.25</v>
      </c>
      <c r="I109">
        <v>1</v>
      </c>
      <c r="Q109" s="1"/>
      <c r="R109" s="1">
        <v>2.08</v>
      </c>
    </row>
    <row r="110" spans="1:18" ht="15.75" customHeight="1" x14ac:dyDescent="0.25">
      <c r="A110" s="2">
        <v>2677845</v>
      </c>
      <c r="B110">
        <v>2677845</v>
      </c>
      <c r="C110" t="str">
        <f>HYPERLINK("https://ois.dk/map/2677845/sfe", "Link")</f>
        <v>Link</v>
      </c>
      <c r="D110" t="s">
        <v>232</v>
      </c>
      <c r="E110" s="17">
        <v>0.75</v>
      </c>
      <c r="F110" t="s">
        <v>233</v>
      </c>
      <c r="G110">
        <v>0.5</v>
      </c>
      <c r="H110">
        <v>0.25</v>
      </c>
      <c r="Q110" s="1"/>
      <c r="R110" s="1"/>
    </row>
    <row r="111" spans="1:18" ht="15.75" customHeight="1" x14ac:dyDescent="0.25">
      <c r="A111" s="2">
        <v>2677847</v>
      </c>
      <c r="B111">
        <v>2677847</v>
      </c>
      <c r="C111" t="str">
        <f>HYPERLINK("https://ois.dk/map/2677847/sfe", "Link")</f>
        <v>Link</v>
      </c>
      <c r="D111" t="s">
        <v>141</v>
      </c>
      <c r="E111" s="17">
        <v>1.96</v>
      </c>
      <c r="G111">
        <v>0.5</v>
      </c>
      <c r="L111">
        <v>1.46</v>
      </c>
      <c r="Q111" s="1"/>
      <c r="R111" s="1"/>
    </row>
    <row r="112" spans="1:18" ht="15.75" customHeight="1" x14ac:dyDescent="0.25">
      <c r="A112" s="2">
        <v>2677848</v>
      </c>
      <c r="B112">
        <v>2677848</v>
      </c>
      <c r="C112" t="str">
        <f>HYPERLINK("https://ois.dk/map/2677848/sfe", "Link")</f>
        <v>Link</v>
      </c>
      <c r="D112" t="s">
        <v>234</v>
      </c>
      <c r="E112" s="17">
        <v>0.55900000000000005</v>
      </c>
      <c r="G112">
        <v>0.5</v>
      </c>
      <c r="L112">
        <v>5.8999999999999997E-2</v>
      </c>
      <c r="Q112" s="1"/>
      <c r="R112" s="1"/>
    </row>
    <row r="113" spans="1:18" ht="15.75" customHeight="1" x14ac:dyDescent="0.25">
      <c r="A113" s="2">
        <v>5442949</v>
      </c>
      <c r="B113">
        <v>5442949</v>
      </c>
      <c r="C113" t="str">
        <f t="shared" ref="C113:C134" si="1">HYPERLINK("https://ois.dk/map/5442949/sfe", "Link")</f>
        <v>Link</v>
      </c>
      <c r="D113" t="s">
        <v>235</v>
      </c>
      <c r="E113" s="17">
        <v>0.25</v>
      </c>
      <c r="F113" t="s">
        <v>236</v>
      </c>
      <c r="H113">
        <v>0.25</v>
      </c>
      <c r="Q113" s="1"/>
      <c r="R113" s="1">
        <v>1.98</v>
      </c>
    </row>
    <row r="114" spans="1:18" ht="15.75" customHeight="1" x14ac:dyDescent="0.25">
      <c r="A114" s="2">
        <v>5442949</v>
      </c>
      <c r="B114">
        <v>5442949</v>
      </c>
      <c r="C114" t="str">
        <f t="shared" si="1"/>
        <v>Link</v>
      </c>
      <c r="D114" t="s">
        <v>235</v>
      </c>
      <c r="E114" s="17">
        <v>0.5</v>
      </c>
      <c r="F114" t="s">
        <v>237</v>
      </c>
      <c r="G114">
        <v>0.5</v>
      </c>
      <c r="Q114" s="1"/>
      <c r="R114" s="1"/>
    </row>
    <row r="115" spans="1:18" ht="15.75" customHeight="1" x14ac:dyDescent="0.25">
      <c r="A115" s="2">
        <v>5442949</v>
      </c>
      <c r="B115">
        <v>5442949</v>
      </c>
      <c r="C115" t="str">
        <f t="shared" si="1"/>
        <v>Link</v>
      </c>
      <c r="D115" t="s">
        <v>235</v>
      </c>
      <c r="E115" s="17">
        <v>0.5</v>
      </c>
      <c r="F115" t="s">
        <v>238</v>
      </c>
      <c r="G115">
        <v>0.5</v>
      </c>
      <c r="Q115" s="1"/>
      <c r="R115" s="1"/>
    </row>
    <row r="116" spans="1:18" ht="15.75" customHeight="1" x14ac:dyDescent="0.25">
      <c r="A116" s="2">
        <v>5442949</v>
      </c>
      <c r="B116">
        <v>5442949</v>
      </c>
      <c r="C116" t="str">
        <f t="shared" si="1"/>
        <v>Link</v>
      </c>
      <c r="D116" t="s">
        <v>235</v>
      </c>
      <c r="E116" s="17">
        <v>1.5</v>
      </c>
      <c r="F116" t="s">
        <v>239</v>
      </c>
      <c r="G116">
        <v>0.5</v>
      </c>
      <c r="I116">
        <v>1</v>
      </c>
      <c r="Q116" s="1"/>
      <c r="R116" s="1">
        <v>1.98</v>
      </c>
    </row>
    <row r="117" spans="1:18" ht="15.75" customHeight="1" x14ac:dyDescent="0.25">
      <c r="A117" s="2">
        <v>5442949</v>
      </c>
      <c r="B117">
        <v>5442949</v>
      </c>
      <c r="C117" t="str">
        <f t="shared" si="1"/>
        <v>Link</v>
      </c>
      <c r="D117" t="s">
        <v>235</v>
      </c>
      <c r="E117" s="17">
        <v>0.5</v>
      </c>
      <c r="F117" t="s">
        <v>240</v>
      </c>
      <c r="G117">
        <v>0.5</v>
      </c>
      <c r="Q117" s="1"/>
      <c r="R117" s="1"/>
    </row>
    <row r="118" spans="1:18" ht="15.75" customHeight="1" x14ac:dyDescent="0.25">
      <c r="A118" s="2">
        <v>5442949</v>
      </c>
      <c r="B118">
        <v>5442949</v>
      </c>
      <c r="C118" t="str">
        <f t="shared" si="1"/>
        <v>Link</v>
      </c>
      <c r="D118" t="s">
        <v>235</v>
      </c>
      <c r="E118" s="17">
        <v>0.5</v>
      </c>
      <c r="F118" t="s">
        <v>241</v>
      </c>
      <c r="G118">
        <v>0.5</v>
      </c>
      <c r="Q118" s="1"/>
      <c r="R118" s="1"/>
    </row>
    <row r="119" spans="1:18" ht="15.75" customHeight="1" x14ac:dyDescent="0.25">
      <c r="A119" s="2">
        <v>5442949</v>
      </c>
      <c r="B119">
        <v>5442949</v>
      </c>
      <c r="C119" t="str">
        <f t="shared" si="1"/>
        <v>Link</v>
      </c>
      <c r="D119" t="s">
        <v>235</v>
      </c>
      <c r="E119" s="17">
        <v>1.5</v>
      </c>
      <c r="F119" t="s">
        <v>242</v>
      </c>
      <c r="G119">
        <v>0.5</v>
      </c>
      <c r="I119">
        <v>1</v>
      </c>
      <c r="Q119" s="1"/>
      <c r="R119" s="1">
        <v>2.02</v>
      </c>
    </row>
    <row r="120" spans="1:18" ht="15.75" customHeight="1" x14ac:dyDescent="0.25">
      <c r="A120" s="2">
        <v>5442949</v>
      </c>
      <c r="B120">
        <v>5442949</v>
      </c>
      <c r="C120" t="str">
        <f t="shared" si="1"/>
        <v>Link</v>
      </c>
      <c r="D120" t="s">
        <v>235</v>
      </c>
      <c r="E120" s="17">
        <v>0.5</v>
      </c>
      <c r="F120" t="s">
        <v>243</v>
      </c>
      <c r="G120">
        <v>0.5</v>
      </c>
      <c r="Q120" s="1"/>
      <c r="R120" s="1"/>
    </row>
    <row r="121" spans="1:18" ht="15.75" customHeight="1" x14ac:dyDescent="0.25">
      <c r="A121" s="2">
        <v>5442949</v>
      </c>
      <c r="B121">
        <v>5442949</v>
      </c>
      <c r="C121" t="str">
        <f t="shared" si="1"/>
        <v>Link</v>
      </c>
      <c r="D121" t="s">
        <v>235</v>
      </c>
      <c r="E121" s="17">
        <v>0.5</v>
      </c>
      <c r="F121" t="s">
        <v>244</v>
      </c>
      <c r="G121">
        <v>0.5</v>
      </c>
      <c r="Q121" s="1"/>
      <c r="R121" s="1"/>
    </row>
    <row r="122" spans="1:18" ht="15.75" customHeight="1" x14ac:dyDescent="0.25">
      <c r="A122" s="2">
        <v>5442949</v>
      </c>
      <c r="B122">
        <v>5442949</v>
      </c>
      <c r="C122" t="str">
        <f t="shared" si="1"/>
        <v>Link</v>
      </c>
      <c r="D122" t="s">
        <v>235</v>
      </c>
      <c r="E122" s="17">
        <v>1.5</v>
      </c>
      <c r="F122" t="s">
        <v>245</v>
      </c>
      <c r="G122">
        <v>0.5</v>
      </c>
      <c r="I122">
        <v>1</v>
      </c>
      <c r="Q122" s="1"/>
      <c r="R122" s="1">
        <v>2.02</v>
      </c>
    </row>
    <row r="123" spans="1:18" ht="15.75" customHeight="1" x14ac:dyDescent="0.25">
      <c r="A123" s="2">
        <v>5442949</v>
      </c>
      <c r="B123">
        <v>5442949</v>
      </c>
      <c r="C123" t="str">
        <f t="shared" si="1"/>
        <v>Link</v>
      </c>
      <c r="D123" t="s">
        <v>235</v>
      </c>
      <c r="E123" s="17">
        <v>0.5</v>
      </c>
      <c r="F123" t="s">
        <v>246</v>
      </c>
      <c r="G123">
        <v>0.5</v>
      </c>
      <c r="Q123" s="1"/>
      <c r="R123" s="1"/>
    </row>
    <row r="124" spans="1:18" ht="15.75" customHeight="1" x14ac:dyDescent="0.25">
      <c r="A124" s="2">
        <v>5442949</v>
      </c>
      <c r="B124">
        <v>5442949</v>
      </c>
      <c r="C124" t="str">
        <f t="shared" si="1"/>
        <v>Link</v>
      </c>
      <c r="D124" t="s">
        <v>235</v>
      </c>
      <c r="E124" s="17">
        <v>0.5</v>
      </c>
      <c r="F124" t="s">
        <v>247</v>
      </c>
      <c r="G124">
        <v>0.5</v>
      </c>
      <c r="Q124" s="1"/>
      <c r="R124" s="1"/>
    </row>
    <row r="125" spans="1:18" ht="15.75" customHeight="1" x14ac:dyDescent="0.25">
      <c r="A125" s="2">
        <v>5442949</v>
      </c>
      <c r="B125">
        <v>5442949</v>
      </c>
      <c r="C125" t="str">
        <f t="shared" si="1"/>
        <v>Link</v>
      </c>
      <c r="D125" t="s">
        <v>235</v>
      </c>
      <c r="E125" s="17">
        <v>1.5</v>
      </c>
      <c r="F125" t="s">
        <v>248</v>
      </c>
      <c r="G125">
        <v>0.5</v>
      </c>
      <c r="I125">
        <v>1</v>
      </c>
      <c r="Q125" s="1"/>
      <c r="R125" s="1">
        <v>1.98</v>
      </c>
    </row>
    <row r="126" spans="1:18" ht="15.75" customHeight="1" x14ac:dyDescent="0.25">
      <c r="A126" s="2">
        <v>5442949</v>
      </c>
      <c r="B126">
        <v>5442949</v>
      </c>
      <c r="C126" t="str">
        <f t="shared" si="1"/>
        <v>Link</v>
      </c>
      <c r="D126" t="s">
        <v>235</v>
      </c>
      <c r="E126" s="17">
        <v>0.5</v>
      </c>
      <c r="F126" t="s">
        <v>249</v>
      </c>
      <c r="G126">
        <v>0.5</v>
      </c>
      <c r="Q126" s="1"/>
      <c r="R126" s="1"/>
    </row>
    <row r="127" spans="1:18" ht="15.75" customHeight="1" x14ac:dyDescent="0.25">
      <c r="A127" s="2">
        <v>5442949</v>
      </c>
      <c r="B127">
        <v>5442949</v>
      </c>
      <c r="C127" t="str">
        <f t="shared" si="1"/>
        <v>Link</v>
      </c>
      <c r="D127" t="s">
        <v>235</v>
      </c>
      <c r="E127" s="17">
        <v>0.5</v>
      </c>
      <c r="F127" t="s">
        <v>250</v>
      </c>
      <c r="G127">
        <v>0.5</v>
      </c>
      <c r="Q127" s="1"/>
      <c r="R127" s="1"/>
    </row>
    <row r="128" spans="1:18" ht="15.75" customHeight="1" x14ac:dyDescent="0.25">
      <c r="A128" s="2">
        <v>5442949</v>
      </c>
      <c r="B128">
        <v>5442949</v>
      </c>
      <c r="C128" t="str">
        <f t="shared" si="1"/>
        <v>Link</v>
      </c>
      <c r="D128" t="s">
        <v>235</v>
      </c>
      <c r="E128" s="17">
        <v>1.5</v>
      </c>
      <c r="F128" t="s">
        <v>251</v>
      </c>
      <c r="G128">
        <v>0.5</v>
      </c>
      <c r="I128">
        <v>1</v>
      </c>
      <c r="Q128" s="1"/>
      <c r="R128" s="1">
        <v>1.98</v>
      </c>
    </row>
    <row r="129" spans="1:19" ht="15.75" customHeight="1" x14ac:dyDescent="0.25">
      <c r="A129" s="2">
        <v>5442949</v>
      </c>
      <c r="B129">
        <v>5442949</v>
      </c>
      <c r="C129" t="str">
        <f t="shared" si="1"/>
        <v>Link</v>
      </c>
      <c r="D129" t="s">
        <v>235</v>
      </c>
      <c r="E129" s="17">
        <v>0.5</v>
      </c>
      <c r="F129" t="s">
        <v>252</v>
      </c>
      <c r="G129">
        <v>0.5</v>
      </c>
      <c r="Q129" s="1"/>
      <c r="R129" s="1"/>
    </row>
    <row r="130" spans="1:19" ht="15.75" customHeight="1" x14ac:dyDescent="0.25">
      <c r="A130" s="2">
        <v>5442949</v>
      </c>
      <c r="B130">
        <v>5442949</v>
      </c>
      <c r="C130" t="str">
        <f t="shared" si="1"/>
        <v>Link</v>
      </c>
      <c r="D130" t="s">
        <v>235</v>
      </c>
      <c r="E130" s="17">
        <v>0.5</v>
      </c>
      <c r="F130" t="s">
        <v>253</v>
      </c>
      <c r="G130">
        <v>0.5</v>
      </c>
      <c r="Q130" s="1"/>
      <c r="R130" s="1"/>
    </row>
    <row r="131" spans="1:19" ht="15.75" customHeight="1" x14ac:dyDescent="0.25">
      <c r="A131" s="2">
        <v>5442949</v>
      </c>
      <c r="B131">
        <v>5442949</v>
      </c>
      <c r="C131" t="str">
        <f t="shared" si="1"/>
        <v>Link</v>
      </c>
      <c r="D131" t="s">
        <v>235</v>
      </c>
      <c r="E131" s="17">
        <v>1.5</v>
      </c>
      <c r="F131" t="s">
        <v>254</v>
      </c>
      <c r="G131">
        <v>0.5</v>
      </c>
      <c r="I131">
        <v>1</v>
      </c>
      <c r="Q131" s="1"/>
      <c r="R131" s="1">
        <v>1.98</v>
      </c>
    </row>
    <row r="132" spans="1:19" ht="15.75" customHeight="1" x14ac:dyDescent="0.25">
      <c r="A132" s="2">
        <v>5442949</v>
      </c>
      <c r="B132">
        <v>5442949</v>
      </c>
      <c r="C132" t="str">
        <f t="shared" si="1"/>
        <v>Link</v>
      </c>
      <c r="D132" t="s">
        <v>235</v>
      </c>
      <c r="E132" s="17">
        <v>0.5</v>
      </c>
      <c r="F132" t="s">
        <v>255</v>
      </c>
      <c r="G132">
        <v>0.5</v>
      </c>
      <c r="Q132" s="1"/>
      <c r="R132" s="1"/>
    </row>
    <row r="133" spans="1:19" ht="15.75" customHeight="1" x14ac:dyDescent="0.25">
      <c r="A133" s="2">
        <v>5442949</v>
      </c>
      <c r="B133">
        <v>5442949</v>
      </c>
      <c r="C133" t="str">
        <f t="shared" si="1"/>
        <v>Link</v>
      </c>
      <c r="D133" t="s">
        <v>235</v>
      </c>
      <c r="E133" s="17">
        <v>0.5</v>
      </c>
      <c r="F133" t="s">
        <v>256</v>
      </c>
      <c r="G133">
        <v>0.5</v>
      </c>
      <c r="Q133" s="1"/>
      <c r="R133" s="1"/>
    </row>
    <row r="134" spans="1:19" ht="15.75" customHeight="1" x14ac:dyDescent="0.25">
      <c r="A134" s="2">
        <v>5442949</v>
      </c>
      <c r="B134">
        <v>5442949</v>
      </c>
      <c r="C134" t="str">
        <f t="shared" si="1"/>
        <v>Link</v>
      </c>
      <c r="D134" t="s">
        <v>235</v>
      </c>
      <c r="E134" s="17">
        <v>1.5</v>
      </c>
      <c r="F134" t="s">
        <v>257</v>
      </c>
      <c r="G134">
        <v>0.5</v>
      </c>
      <c r="I134">
        <v>1</v>
      </c>
      <c r="Q134" s="1"/>
      <c r="R134" s="1">
        <v>2.02</v>
      </c>
    </row>
    <row r="135" spans="1:19" ht="15.75" customHeight="1" x14ac:dyDescent="0.25">
      <c r="A135" s="2">
        <v>5442950</v>
      </c>
      <c r="B135">
        <v>5442950</v>
      </c>
      <c r="C135" t="str">
        <f>HYPERLINK("https://ois.dk/map/5442950/sfe", "Link")</f>
        <v>Link</v>
      </c>
      <c r="D135" t="s">
        <v>258</v>
      </c>
      <c r="E135" s="17">
        <v>0.75</v>
      </c>
      <c r="F135" t="s">
        <v>259</v>
      </c>
      <c r="G135">
        <v>0.5</v>
      </c>
      <c r="H135">
        <v>0.25</v>
      </c>
      <c r="Q135" s="1"/>
      <c r="R135" s="1"/>
    </row>
    <row r="136" spans="1:19" ht="15.75" customHeight="1" x14ac:dyDescent="0.25">
      <c r="A136" s="2">
        <v>5442951</v>
      </c>
      <c r="B136">
        <v>5442951</v>
      </c>
      <c r="C136" t="str">
        <f>HYPERLINK("https://ois.dk/map/5442951/sfe", "Link")</f>
        <v>Link</v>
      </c>
      <c r="D136" t="s">
        <v>260</v>
      </c>
      <c r="E136" s="17">
        <v>1.05</v>
      </c>
      <c r="F136" t="s">
        <v>261</v>
      </c>
      <c r="G136">
        <v>0.5</v>
      </c>
      <c r="H136">
        <v>0.25</v>
      </c>
      <c r="J136">
        <v>0.3</v>
      </c>
      <c r="Q136" s="1"/>
      <c r="R136" s="1"/>
      <c r="S136">
        <v>1.77</v>
      </c>
    </row>
    <row r="137" spans="1:19" ht="15.75" customHeight="1" x14ac:dyDescent="0.25">
      <c r="A137" s="2">
        <v>5442954</v>
      </c>
      <c r="B137">
        <v>5442954</v>
      </c>
      <c r="C137" t="str">
        <f t="shared" ref="C137:C145" si="2">HYPERLINK("https://ois.dk/map/5442954/sfe", "Link")</f>
        <v>Link</v>
      </c>
      <c r="D137" t="s">
        <v>262</v>
      </c>
      <c r="E137" s="17">
        <v>0.55000000000000071</v>
      </c>
      <c r="F137" t="s">
        <v>263</v>
      </c>
      <c r="H137">
        <v>0.25</v>
      </c>
      <c r="J137">
        <v>0.3</v>
      </c>
      <c r="Q137" s="1"/>
      <c r="R137" s="1">
        <v>1.86</v>
      </c>
      <c r="S137">
        <v>1.66</v>
      </c>
    </row>
    <row r="138" spans="1:19" ht="15.75" customHeight="1" x14ac:dyDescent="0.25">
      <c r="A138" s="2">
        <v>5442954</v>
      </c>
      <c r="B138">
        <v>5442954</v>
      </c>
      <c r="C138" t="str">
        <f t="shared" si="2"/>
        <v>Link</v>
      </c>
      <c r="D138" t="s">
        <v>262</v>
      </c>
      <c r="E138" s="17">
        <v>1.5</v>
      </c>
      <c r="F138" t="s">
        <v>264</v>
      </c>
      <c r="G138">
        <v>0.5</v>
      </c>
      <c r="I138">
        <v>1</v>
      </c>
      <c r="Q138" s="1"/>
      <c r="R138" s="1">
        <v>1.86</v>
      </c>
      <c r="S138">
        <v>1.66</v>
      </c>
    </row>
    <row r="139" spans="1:19" ht="15.75" customHeight="1" x14ac:dyDescent="0.25">
      <c r="A139" s="2">
        <v>5442954</v>
      </c>
      <c r="B139">
        <v>5442954</v>
      </c>
      <c r="C139" t="str">
        <f t="shared" si="2"/>
        <v>Link</v>
      </c>
      <c r="D139" t="s">
        <v>262</v>
      </c>
      <c r="E139" s="17">
        <v>1.5</v>
      </c>
      <c r="F139" t="s">
        <v>265</v>
      </c>
      <c r="G139">
        <v>0.5</v>
      </c>
      <c r="I139">
        <v>1</v>
      </c>
      <c r="Q139" s="1"/>
      <c r="R139" s="1">
        <v>1.86</v>
      </c>
      <c r="S139">
        <v>1.66</v>
      </c>
    </row>
    <row r="140" spans="1:19" ht="15.75" customHeight="1" x14ac:dyDescent="0.25">
      <c r="A140" s="2">
        <v>5442954</v>
      </c>
      <c r="B140">
        <v>5442954</v>
      </c>
      <c r="C140" t="str">
        <f t="shared" si="2"/>
        <v>Link</v>
      </c>
      <c r="D140" t="s">
        <v>262</v>
      </c>
      <c r="E140" s="17">
        <v>1.5</v>
      </c>
      <c r="F140" t="s">
        <v>266</v>
      </c>
      <c r="G140">
        <v>0.5</v>
      </c>
      <c r="I140">
        <v>1</v>
      </c>
      <c r="Q140" s="1"/>
      <c r="R140" s="1">
        <v>1.86</v>
      </c>
      <c r="S140">
        <v>1.66</v>
      </c>
    </row>
    <row r="141" spans="1:19" ht="15.75" customHeight="1" x14ac:dyDescent="0.25">
      <c r="A141" s="2">
        <v>5442954</v>
      </c>
      <c r="B141">
        <v>5442954</v>
      </c>
      <c r="C141" t="str">
        <f t="shared" si="2"/>
        <v>Link</v>
      </c>
      <c r="D141" t="s">
        <v>262</v>
      </c>
      <c r="E141" s="17">
        <v>0.5</v>
      </c>
      <c r="F141" t="s">
        <v>267</v>
      </c>
      <c r="G141">
        <v>0.5</v>
      </c>
      <c r="Q141" s="1"/>
      <c r="R141" s="1"/>
      <c r="S141">
        <v>1.66</v>
      </c>
    </row>
    <row r="142" spans="1:19" ht="15.75" customHeight="1" x14ac:dyDescent="0.25">
      <c r="A142" s="2">
        <v>5442954</v>
      </c>
      <c r="B142">
        <v>5442954</v>
      </c>
      <c r="C142" t="str">
        <f t="shared" si="2"/>
        <v>Link</v>
      </c>
      <c r="D142" t="s">
        <v>262</v>
      </c>
      <c r="E142" s="17">
        <v>1.5</v>
      </c>
      <c r="F142" t="s">
        <v>268</v>
      </c>
      <c r="G142">
        <v>0.5</v>
      </c>
      <c r="I142">
        <v>1</v>
      </c>
      <c r="Q142" s="1"/>
      <c r="R142" s="1">
        <v>2.0299999999999998</v>
      </c>
      <c r="S142">
        <v>1.66</v>
      </c>
    </row>
    <row r="143" spans="1:19" ht="15.75" customHeight="1" x14ac:dyDescent="0.25">
      <c r="A143" s="2">
        <v>5442954</v>
      </c>
      <c r="B143">
        <v>5442954</v>
      </c>
      <c r="C143" t="str">
        <f t="shared" si="2"/>
        <v>Link</v>
      </c>
      <c r="D143" t="s">
        <v>262</v>
      </c>
      <c r="E143" s="17">
        <v>1.5</v>
      </c>
      <c r="F143" t="s">
        <v>269</v>
      </c>
      <c r="G143">
        <v>0.5</v>
      </c>
      <c r="I143">
        <v>1</v>
      </c>
      <c r="Q143" s="1"/>
      <c r="R143" s="1">
        <v>2.0299999999999998</v>
      </c>
      <c r="S143">
        <v>1.66</v>
      </c>
    </row>
    <row r="144" spans="1:19" ht="15.75" customHeight="1" x14ac:dyDescent="0.25">
      <c r="A144" s="2">
        <v>5442954</v>
      </c>
      <c r="B144">
        <v>5442954</v>
      </c>
      <c r="C144" t="str">
        <f t="shared" si="2"/>
        <v>Link</v>
      </c>
      <c r="D144" t="s">
        <v>262</v>
      </c>
      <c r="E144" s="17">
        <v>1.5</v>
      </c>
      <c r="F144" t="s">
        <v>270</v>
      </c>
      <c r="G144">
        <v>0.5</v>
      </c>
      <c r="I144">
        <v>1</v>
      </c>
      <c r="Q144" s="1"/>
      <c r="R144" s="1">
        <v>2.0299999999999998</v>
      </c>
      <c r="S144">
        <v>1.66</v>
      </c>
    </row>
    <row r="145" spans="1:19" ht="15.75" customHeight="1" x14ac:dyDescent="0.25">
      <c r="A145" s="2">
        <v>5442954</v>
      </c>
      <c r="B145">
        <v>5442954</v>
      </c>
      <c r="C145" t="str">
        <f t="shared" si="2"/>
        <v>Link</v>
      </c>
      <c r="D145" t="s">
        <v>262</v>
      </c>
      <c r="E145" s="17">
        <v>1.5</v>
      </c>
      <c r="F145" t="s">
        <v>271</v>
      </c>
      <c r="G145">
        <v>0.5</v>
      </c>
      <c r="I145">
        <v>1</v>
      </c>
      <c r="Q145" s="1"/>
      <c r="R145" s="1">
        <v>2.0299999999999998</v>
      </c>
      <c r="S145">
        <v>1.66</v>
      </c>
    </row>
    <row r="146" spans="1:19" ht="15.75" customHeight="1" x14ac:dyDescent="0.25">
      <c r="A146" s="2">
        <v>5442955</v>
      </c>
      <c r="B146">
        <v>5442955</v>
      </c>
      <c r="C146" t="str">
        <f>HYPERLINK("https://ois.dk/map/5442955/sfe", "Link")</f>
        <v>Link</v>
      </c>
      <c r="D146" t="s">
        <v>272</v>
      </c>
      <c r="E146" s="17">
        <v>0.75</v>
      </c>
      <c r="F146" t="s">
        <v>273</v>
      </c>
      <c r="G146">
        <v>0.5</v>
      </c>
      <c r="H146">
        <v>0.25</v>
      </c>
      <c r="Q146" s="1"/>
      <c r="R146" s="1"/>
    </row>
    <row r="147" spans="1:19" ht="15.75" customHeight="1" x14ac:dyDescent="0.25">
      <c r="A147" s="2">
        <v>5442956</v>
      </c>
      <c r="B147">
        <v>5442956</v>
      </c>
      <c r="C147" t="str">
        <f>HYPERLINK("https://ois.dk/map/5442956/sfe", "Link")</f>
        <v>Link</v>
      </c>
      <c r="D147" t="s">
        <v>274</v>
      </c>
      <c r="E147" s="17">
        <v>0.5</v>
      </c>
      <c r="F147" t="s">
        <v>275</v>
      </c>
      <c r="G147">
        <v>0.5</v>
      </c>
      <c r="Q147" s="1"/>
      <c r="R147" s="1"/>
    </row>
    <row r="148" spans="1:19" ht="15.75" customHeight="1" x14ac:dyDescent="0.25">
      <c r="A148" s="2">
        <v>5442957</v>
      </c>
      <c r="B148">
        <v>5442957</v>
      </c>
      <c r="C148" t="str">
        <f>HYPERLINK("https://ois.dk/map/5442957/sfe", "Link")</f>
        <v>Link</v>
      </c>
      <c r="D148" t="s">
        <v>276</v>
      </c>
      <c r="E148" s="17">
        <v>0.5</v>
      </c>
      <c r="F148" t="s">
        <v>277</v>
      </c>
      <c r="G148">
        <v>0.5</v>
      </c>
      <c r="Q148" s="1"/>
      <c r="R148" s="1"/>
    </row>
    <row r="149" spans="1:19" ht="15.75" customHeight="1" x14ac:dyDescent="0.25">
      <c r="A149" s="2">
        <v>5442958</v>
      </c>
      <c r="B149">
        <v>5442958</v>
      </c>
      <c r="C149" t="str">
        <f>HYPERLINK("https://ois.dk/map/5442958/sfe", "Link")</f>
        <v>Link</v>
      </c>
      <c r="D149" t="s">
        <v>278</v>
      </c>
      <c r="E149" s="17">
        <v>0.25</v>
      </c>
      <c r="F149" t="s">
        <v>279</v>
      </c>
      <c r="H149">
        <v>0.25</v>
      </c>
      <c r="Q149" s="1"/>
      <c r="R149" s="1"/>
    </row>
    <row r="150" spans="1:19" ht="15.75" customHeight="1" x14ac:dyDescent="0.25">
      <c r="A150" s="2">
        <v>5442958</v>
      </c>
      <c r="B150">
        <v>5442958</v>
      </c>
      <c r="C150" t="str">
        <f>HYPERLINK("https://ois.dk/map/5442958/sfe", "Link")</f>
        <v>Link</v>
      </c>
      <c r="D150" t="s">
        <v>278</v>
      </c>
      <c r="E150" s="17">
        <v>0.5</v>
      </c>
      <c r="F150" t="s">
        <v>279</v>
      </c>
      <c r="G150">
        <v>0.5</v>
      </c>
      <c r="Q150" s="1"/>
      <c r="R150" s="1"/>
    </row>
    <row r="151" spans="1:19" ht="15.75" customHeight="1" x14ac:dyDescent="0.25">
      <c r="A151" s="2">
        <v>5442958</v>
      </c>
      <c r="B151">
        <v>5442958</v>
      </c>
      <c r="C151" t="str">
        <f>HYPERLINK("https://ois.dk/map/5442958/sfe", "Link")</f>
        <v>Link</v>
      </c>
      <c r="D151" t="s">
        <v>278</v>
      </c>
      <c r="E151" s="17">
        <v>0.5</v>
      </c>
      <c r="F151" t="s">
        <v>280</v>
      </c>
      <c r="G151">
        <v>0.5</v>
      </c>
      <c r="Q151" s="1"/>
      <c r="R151" s="1"/>
    </row>
    <row r="152" spans="1:19" ht="15.75" customHeight="1" x14ac:dyDescent="0.25">
      <c r="A152" s="2">
        <v>5442965</v>
      </c>
      <c r="B152">
        <v>5442965</v>
      </c>
      <c r="C152" t="str">
        <f t="shared" ref="C152:C188" si="3">HYPERLINK("https://ois.dk/map/5442965/sfe", "Link")</f>
        <v>Link</v>
      </c>
      <c r="D152" t="s">
        <v>281</v>
      </c>
      <c r="E152" s="17">
        <v>0.25</v>
      </c>
      <c r="F152" t="s">
        <v>282</v>
      </c>
      <c r="H152">
        <v>0.25</v>
      </c>
      <c r="Q152" s="1"/>
      <c r="R152" s="1"/>
    </row>
    <row r="153" spans="1:19" ht="15.75" customHeight="1" x14ac:dyDescent="0.25">
      <c r="A153" s="2">
        <v>5442965</v>
      </c>
      <c r="B153">
        <v>5442965</v>
      </c>
      <c r="C153" t="str">
        <f t="shared" si="3"/>
        <v>Link</v>
      </c>
      <c r="D153" t="s">
        <v>281</v>
      </c>
      <c r="E153" s="17">
        <v>0.5</v>
      </c>
      <c r="F153" t="s">
        <v>282</v>
      </c>
      <c r="G153">
        <v>0.5</v>
      </c>
      <c r="Q153" s="1"/>
      <c r="R153" s="1"/>
    </row>
    <row r="154" spans="1:19" ht="15.75" customHeight="1" x14ac:dyDescent="0.25">
      <c r="A154" s="2">
        <v>5442965</v>
      </c>
      <c r="B154">
        <v>5442965</v>
      </c>
      <c r="C154" t="str">
        <f t="shared" si="3"/>
        <v>Link</v>
      </c>
      <c r="D154" t="s">
        <v>281</v>
      </c>
      <c r="E154" s="17">
        <v>0.5</v>
      </c>
      <c r="F154" t="s">
        <v>283</v>
      </c>
      <c r="G154">
        <v>0.5</v>
      </c>
      <c r="Q154" s="1"/>
      <c r="R154" s="1"/>
    </row>
    <row r="155" spans="1:19" ht="15.75" customHeight="1" x14ac:dyDescent="0.25">
      <c r="A155" s="2">
        <v>5442965</v>
      </c>
      <c r="B155">
        <v>5442965</v>
      </c>
      <c r="C155" t="str">
        <f t="shared" si="3"/>
        <v>Link</v>
      </c>
      <c r="D155" t="s">
        <v>281</v>
      </c>
      <c r="E155" s="17">
        <v>0.5</v>
      </c>
      <c r="F155" t="s">
        <v>284</v>
      </c>
      <c r="G155">
        <v>0.5</v>
      </c>
      <c r="Q155" s="1"/>
      <c r="R155" s="1"/>
    </row>
    <row r="156" spans="1:19" ht="15.75" customHeight="1" x14ac:dyDescent="0.25">
      <c r="A156" s="2">
        <v>5442965</v>
      </c>
      <c r="B156">
        <v>5442965</v>
      </c>
      <c r="C156" t="str">
        <f t="shared" si="3"/>
        <v>Link</v>
      </c>
      <c r="D156" t="s">
        <v>281</v>
      </c>
      <c r="E156" s="17">
        <v>0.5</v>
      </c>
      <c r="F156" t="s">
        <v>285</v>
      </c>
      <c r="G156">
        <v>0.5</v>
      </c>
      <c r="Q156" s="1"/>
      <c r="R156" s="1"/>
    </row>
    <row r="157" spans="1:19" ht="15.75" customHeight="1" x14ac:dyDescent="0.25">
      <c r="A157" s="2">
        <v>5442965</v>
      </c>
      <c r="B157">
        <v>5442965</v>
      </c>
      <c r="C157" t="str">
        <f t="shared" si="3"/>
        <v>Link</v>
      </c>
      <c r="D157" t="s">
        <v>281</v>
      </c>
      <c r="E157" s="17">
        <v>0.5</v>
      </c>
      <c r="F157" t="s">
        <v>286</v>
      </c>
      <c r="G157">
        <v>0.5</v>
      </c>
      <c r="Q157" s="1"/>
      <c r="R157" s="1"/>
    </row>
    <row r="158" spans="1:19" ht="15.75" customHeight="1" x14ac:dyDescent="0.25">
      <c r="A158" s="2">
        <v>5442965</v>
      </c>
      <c r="B158">
        <v>5442965</v>
      </c>
      <c r="C158" t="str">
        <f t="shared" si="3"/>
        <v>Link</v>
      </c>
      <c r="D158" t="s">
        <v>281</v>
      </c>
      <c r="E158" s="17">
        <v>0.5</v>
      </c>
      <c r="F158" t="s">
        <v>287</v>
      </c>
      <c r="G158">
        <v>0.5</v>
      </c>
      <c r="Q158" s="1"/>
      <c r="R158" s="1"/>
    </row>
    <row r="159" spans="1:19" ht="15.75" customHeight="1" x14ac:dyDescent="0.25">
      <c r="A159" s="2">
        <v>5442965</v>
      </c>
      <c r="B159">
        <v>5442965</v>
      </c>
      <c r="C159" t="str">
        <f t="shared" si="3"/>
        <v>Link</v>
      </c>
      <c r="D159" t="s">
        <v>281</v>
      </c>
      <c r="E159" s="17">
        <v>0.5</v>
      </c>
      <c r="F159" t="s">
        <v>288</v>
      </c>
      <c r="G159">
        <v>0.5</v>
      </c>
      <c r="Q159" s="1"/>
      <c r="R159" s="1"/>
    </row>
    <row r="160" spans="1:19" ht="15.75" customHeight="1" x14ac:dyDescent="0.25">
      <c r="A160" s="2">
        <v>5442965</v>
      </c>
      <c r="B160">
        <v>5442965</v>
      </c>
      <c r="C160" t="str">
        <f t="shared" si="3"/>
        <v>Link</v>
      </c>
      <c r="D160" t="s">
        <v>281</v>
      </c>
      <c r="E160" s="17">
        <v>0.5</v>
      </c>
      <c r="F160" t="s">
        <v>289</v>
      </c>
      <c r="G160">
        <v>0.5</v>
      </c>
      <c r="Q160" s="1"/>
      <c r="R160" s="1"/>
    </row>
    <row r="161" spans="1:18" ht="15.75" customHeight="1" x14ac:dyDescent="0.25">
      <c r="A161" s="2">
        <v>5442965</v>
      </c>
      <c r="B161">
        <v>5442965</v>
      </c>
      <c r="C161" t="str">
        <f t="shared" si="3"/>
        <v>Link</v>
      </c>
      <c r="D161" t="s">
        <v>281</v>
      </c>
      <c r="E161" s="17">
        <v>0.5</v>
      </c>
      <c r="F161" t="s">
        <v>290</v>
      </c>
      <c r="G161">
        <v>0.5</v>
      </c>
      <c r="Q161" s="1"/>
      <c r="R161" s="1"/>
    </row>
    <row r="162" spans="1:18" ht="15.75" customHeight="1" x14ac:dyDescent="0.25">
      <c r="A162" s="2">
        <v>5442965</v>
      </c>
      <c r="B162">
        <v>5442965</v>
      </c>
      <c r="C162" t="str">
        <f t="shared" si="3"/>
        <v>Link</v>
      </c>
      <c r="D162" t="s">
        <v>281</v>
      </c>
      <c r="E162" s="17">
        <v>0.5</v>
      </c>
      <c r="F162" t="s">
        <v>291</v>
      </c>
      <c r="G162">
        <v>0.5</v>
      </c>
      <c r="Q162" s="1"/>
      <c r="R162" s="1"/>
    </row>
    <row r="163" spans="1:18" ht="15.75" customHeight="1" x14ac:dyDescent="0.25">
      <c r="A163" s="2">
        <v>5442965</v>
      </c>
      <c r="B163">
        <v>5442965</v>
      </c>
      <c r="C163" t="str">
        <f t="shared" si="3"/>
        <v>Link</v>
      </c>
      <c r="D163" t="s">
        <v>281</v>
      </c>
      <c r="E163" s="17">
        <v>0.5</v>
      </c>
      <c r="F163" t="s">
        <v>292</v>
      </c>
      <c r="G163">
        <v>0.5</v>
      </c>
      <c r="Q163" s="1"/>
      <c r="R163" s="1"/>
    </row>
    <row r="164" spans="1:18" ht="15.75" customHeight="1" x14ac:dyDescent="0.25">
      <c r="A164" s="2">
        <v>5442965</v>
      </c>
      <c r="B164">
        <v>5442965</v>
      </c>
      <c r="C164" t="str">
        <f t="shared" si="3"/>
        <v>Link</v>
      </c>
      <c r="D164" t="s">
        <v>281</v>
      </c>
      <c r="E164" s="17">
        <v>0.5</v>
      </c>
      <c r="F164" t="s">
        <v>293</v>
      </c>
      <c r="G164">
        <v>0.5</v>
      </c>
      <c r="Q164" s="1"/>
      <c r="R164" s="1"/>
    </row>
    <row r="165" spans="1:18" ht="15.75" customHeight="1" x14ac:dyDescent="0.25">
      <c r="A165" s="2">
        <v>5442965</v>
      </c>
      <c r="B165">
        <v>5442965</v>
      </c>
      <c r="C165" t="str">
        <f t="shared" si="3"/>
        <v>Link</v>
      </c>
      <c r="D165" t="s">
        <v>281</v>
      </c>
      <c r="E165" s="17">
        <v>0.5</v>
      </c>
      <c r="F165" t="s">
        <v>294</v>
      </c>
      <c r="G165">
        <v>0.5</v>
      </c>
      <c r="Q165" s="1"/>
      <c r="R165" s="1"/>
    </row>
    <row r="166" spans="1:18" ht="15.75" customHeight="1" x14ac:dyDescent="0.25">
      <c r="A166" s="2">
        <v>5442965</v>
      </c>
      <c r="B166">
        <v>5442965</v>
      </c>
      <c r="C166" t="str">
        <f t="shared" si="3"/>
        <v>Link</v>
      </c>
      <c r="D166" t="s">
        <v>281</v>
      </c>
      <c r="E166" s="17">
        <v>0.5</v>
      </c>
      <c r="F166" t="s">
        <v>295</v>
      </c>
      <c r="G166">
        <v>0.5</v>
      </c>
      <c r="Q166" s="1"/>
      <c r="R166" s="1"/>
    </row>
    <row r="167" spans="1:18" ht="15.75" customHeight="1" x14ac:dyDescent="0.25">
      <c r="A167" s="2">
        <v>5442965</v>
      </c>
      <c r="B167">
        <v>5442965</v>
      </c>
      <c r="C167" t="str">
        <f t="shared" si="3"/>
        <v>Link</v>
      </c>
      <c r="D167" t="s">
        <v>281</v>
      </c>
      <c r="E167" s="17">
        <v>0.5</v>
      </c>
      <c r="F167" t="s">
        <v>296</v>
      </c>
      <c r="G167">
        <v>0.5</v>
      </c>
      <c r="Q167" s="1"/>
      <c r="R167" s="1"/>
    </row>
    <row r="168" spans="1:18" ht="15.75" customHeight="1" x14ac:dyDescent="0.25">
      <c r="A168" s="2">
        <v>5442965</v>
      </c>
      <c r="B168">
        <v>5442965</v>
      </c>
      <c r="C168" t="str">
        <f t="shared" si="3"/>
        <v>Link</v>
      </c>
      <c r="D168" t="s">
        <v>281</v>
      </c>
      <c r="E168" s="17">
        <v>0.5</v>
      </c>
      <c r="F168" t="s">
        <v>297</v>
      </c>
      <c r="G168">
        <v>0.5</v>
      </c>
      <c r="Q168" s="1"/>
      <c r="R168" s="1"/>
    </row>
    <row r="169" spans="1:18" ht="15.75" customHeight="1" x14ac:dyDescent="0.25">
      <c r="A169" s="2">
        <v>5442965</v>
      </c>
      <c r="B169">
        <v>5442965</v>
      </c>
      <c r="C169" t="str">
        <f t="shared" si="3"/>
        <v>Link</v>
      </c>
      <c r="D169" t="s">
        <v>281</v>
      </c>
      <c r="E169" s="17">
        <v>0.5</v>
      </c>
      <c r="F169" t="s">
        <v>298</v>
      </c>
      <c r="G169">
        <v>0.5</v>
      </c>
      <c r="Q169" s="1"/>
      <c r="R169" s="1"/>
    </row>
    <row r="170" spans="1:18" ht="15.75" customHeight="1" x14ac:dyDescent="0.25">
      <c r="A170" s="2">
        <v>5442965</v>
      </c>
      <c r="B170">
        <v>5442965</v>
      </c>
      <c r="C170" t="str">
        <f t="shared" si="3"/>
        <v>Link</v>
      </c>
      <c r="D170" t="s">
        <v>281</v>
      </c>
      <c r="E170" s="17">
        <v>0.5</v>
      </c>
      <c r="F170" t="s">
        <v>299</v>
      </c>
      <c r="G170">
        <v>0.5</v>
      </c>
      <c r="Q170" s="1"/>
      <c r="R170" s="1"/>
    </row>
    <row r="171" spans="1:18" ht="15.75" customHeight="1" x14ac:dyDescent="0.25">
      <c r="A171" s="2">
        <v>5442965</v>
      </c>
      <c r="B171">
        <v>5442965</v>
      </c>
      <c r="C171" t="str">
        <f t="shared" si="3"/>
        <v>Link</v>
      </c>
      <c r="D171" t="s">
        <v>281</v>
      </c>
      <c r="E171" s="17">
        <v>0.5</v>
      </c>
      <c r="F171" t="s">
        <v>300</v>
      </c>
      <c r="G171">
        <v>0.5</v>
      </c>
      <c r="Q171" s="1"/>
      <c r="R171" s="1"/>
    </row>
    <row r="172" spans="1:18" ht="15.75" customHeight="1" x14ac:dyDescent="0.25">
      <c r="A172" s="2">
        <v>5442965</v>
      </c>
      <c r="B172">
        <v>5442965</v>
      </c>
      <c r="C172" t="str">
        <f t="shared" si="3"/>
        <v>Link</v>
      </c>
      <c r="D172" t="s">
        <v>281</v>
      </c>
      <c r="E172" s="17">
        <v>0.5</v>
      </c>
      <c r="F172" t="s">
        <v>301</v>
      </c>
      <c r="G172">
        <v>0.5</v>
      </c>
      <c r="Q172" s="1"/>
      <c r="R172" s="1"/>
    </row>
    <row r="173" spans="1:18" ht="15.75" customHeight="1" x14ac:dyDescent="0.25">
      <c r="A173" s="2">
        <v>5442965</v>
      </c>
      <c r="B173">
        <v>5442965</v>
      </c>
      <c r="C173" t="str">
        <f t="shared" si="3"/>
        <v>Link</v>
      </c>
      <c r="D173" t="s">
        <v>281</v>
      </c>
      <c r="E173" s="17">
        <v>0.5</v>
      </c>
      <c r="F173" t="s">
        <v>302</v>
      </c>
      <c r="G173">
        <v>0.5</v>
      </c>
      <c r="Q173" s="1"/>
      <c r="R173" s="1"/>
    </row>
    <row r="174" spans="1:18" ht="15.75" customHeight="1" x14ac:dyDescent="0.25">
      <c r="A174" s="2">
        <v>5442965</v>
      </c>
      <c r="B174">
        <v>5442965</v>
      </c>
      <c r="C174" t="str">
        <f t="shared" si="3"/>
        <v>Link</v>
      </c>
      <c r="D174" t="s">
        <v>281</v>
      </c>
      <c r="E174" s="17">
        <v>0.5</v>
      </c>
      <c r="F174" t="s">
        <v>303</v>
      </c>
      <c r="G174">
        <v>0.5</v>
      </c>
      <c r="Q174" s="1"/>
      <c r="R174" s="1"/>
    </row>
    <row r="175" spans="1:18" ht="15.75" customHeight="1" x14ac:dyDescent="0.25">
      <c r="A175" s="2">
        <v>5442965</v>
      </c>
      <c r="B175">
        <v>5442965</v>
      </c>
      <c r="C175" t="str">
        <f t="shared" si="3"/>
        <v>Link</v>
      </c>
      <c r="D175" t="s">
        <v>281</v>
      </c>
      <c r="E175" s="17">
        <v>0.5</v>
      </c>
      <c r="F175" t="s">
        <v>304</v>
      </c>
      <c r="G175">
        <v>0.5</v>
      </c>
      <c r="Q175" s="1"/>
      <c r="R175" s="1"/>
    </row>
    <row r="176" spans="1:18" ht="15.75" customHeight="1" x14ac:dyDescent="0.25">
      <c r="A176" s="2">
        <v>5442965</v>
      </c>
      <c r="B176">
        <v>5442965</v>
      </c>
      <c r="C176" t="str">
        <f t="shared" si="3"/>
        <v>Link</v>
      </c>
      <c r="D176" t="s">
        <v>281</v>
      </c>
      <c r="E176" s="17">
        <v>0.5</v>
      </c>
      <c r="F176" t="s">
        <v>305</v>
      </c>
      <c r="G176">
        <v>0.5</v>
      </c>
      <c r="Q176" s="1"/>
      <c r="R176" s="1"/>
    </row>
    <row r="177" spans="1:18" ht="15.75" customHeight="1" x14ac:dyDescent="0.25">
      <c r="A177" s="2">
        <v>5442965</v>
      </c>
      <c r="B177">
        <v>5442965</v>
      </c>
      <c r="C177" t="str">
        <f t="shared" si="3"/>
        <v>Link</v>
      </c>
      <c r="D177" t="s">
        <v>281</v>
      </c>
      <c r="E177" s="17">
        <v>0.5</v>
      </c>
      <c r="F177" t="s">
        <v>306</v>
      </c>
      <c r="G177">
        <v>0.5</v>
      </c>
      <c r="Q177" s="1"/>
      <c r="R177" s="1"/>
    </row>
    <row r="178" spans="1:18" ht="15.75" customHeight="1" x14ac:dyDescent="0.25">
      <c r="A178" s="2">
        <v>5442965</v>
      </c>
      <c r="B178">
        <v>5442965</v>
      </c>
      <c r="C178" t="str">
        <f t="shared" si="3"/>
        <v>Link</v>
      </c>
      <c r="D178" t="s">
        <v>281</v>
      </c>
      <c r="E178" s="17">
        <v>0.5</v>
      </c>
      <c r="F178" t="s">
        <v>307</v>
      </c>
      <c r="G178">
        <v>0.5</v>
      </c>
      <c r="Q178" s="1"/>
      <c r="R178" s="1"/>
    </row>
    <row r="179" spans="1:18" ht="15.75" customHeight="1" x14ac:dyDescent="0.25">
      <c r="A179" s="2">
        <v>5442965</v>
      </c>
      <c r="B179">
        <v>5442965</v>
      </c>
      <c r="C179" t="str">
        <f t="shared" si="3"/>
        <v>Link</v>
      </c>
      <c r="D179" t="s">
        <v>281</v>
      </c>
      <c r="E179" s="17">
        <v>0.5</v>
      </c>
      <c r="F179" t="s">
        <v>308</v>
      </c>
      <c r="G179">
        <v>0.5</v>
      </c>
      <c r="Q179" s="1"/>
      <c r="R179" s="1"/>
    </row>
    <row r="180" spans="1:18" ht="15.75" customHeight="1" x14ac:dyDescent="0.25">
      <c r="A180" s="2">
        <v>5442965</v>
      </c>
      <c r="B180">
        <v>5442965</v>
      </c>
      <c r="C180" t="str">
        <f t="shared" si="3"/>
        <v>Link</v>
      </c>
      <c r="D180" t="s">
        <v>281</v>
      </c>
      <c r="E180" s="17">
        <v>0.5</v>
      </c>
      <c r="F180" t="s">
        <v>309</v>
      </c>
      <c r="G180">
        <v>0.5</v>
      </c>
      <c r="Q180" s="1"/>
      <c r="R180" s="1"/>
    </row>
    <row r="181" spans="1:18" ht="15.75" customHeight="1" x14ac:dyDescent="0.25">
      <c r="A181" s="2">
        <v>5442965</v>
      </c>
      <c r="B181">
        <v>5442965</v>
      </c>
      <c r="C181" t="str">
        <f t="shared" si="3"/>
        <v>Link</v>
      </c>
      <c r="D181" t="s">
        <v>281</v>
      </c>
      <c r="E181" s="17">
        <v>0.5</v>
      </c>
      <c r="F181" t="s">
        <v>310</v>
      </c>
      <c r="G181">
        <v>0.5</v>
      </c>
      <c r="Q181" s="1"/>
      <c r="R181" s="1"/>
    </row>
    <row r="182" spans="1:18" ht="15.75" customHeight="1" x14ac:dyDescent="0.25">
      <c r="A182" s="2">
        <v>5442965</v>
      </c>
      <c r="B182">
        <v>5442965</v>
      </c>
      <c r="C182" t="str">
        <f t="shared" si="3"/>
        <v>Link</v>
      </c>
      <c r="D182" t="s">
        <v>281</v>
      </c>
      <c r="E182" s="17">
        <v>0.5</v>
      </c>
      <c r="F182" t="s">
        <v>311</v>
      </c>
      <c r="G182">
        <v>0.5</v>
      </c>
      <c r="Q182" s="1"/>
      <c r="R182" s="1"/>
    </row>
    <row r="183" spans="1:18" ht="15.75" customHeight="1" x14ac:dyDescent="0.25">
      <c r="A183" s="2">
        <v>5442965</v>
      </c>
      <c r="B183">
        <v>5442965</v>
      </c>
      <c r="C183" t="str">
        <f t="shared" si="3"/>
        <v>Link</v>
      </c>
      <c r="D183" t="s">
        <v>281</v>
      </c>
      <c r="E183" s="17">
        <v>0.5</v>
      </c>
      <c r="F183" t="s">
        <v>312</v>
      </c>
      <c r="G183">
        <v>0.5</v>
      </c>
      <c r="Q183" s="1"/>
      <c r="R183" s="1"/>
    </row>
    <row r="184" spans="1:18" ht="15.75" customHeight="1" x14ac:dyDescent="0.25">
      <c r="A184" s="2">
        <v>5442965</v>
      </c>
      <c r="B184">
        <v>5442965</v>
      </c>
      <c r="C184" t="str">
        <f t="shared" si="3"/>
        <v>Link</v>
      </c>
      <c r="D184" t="s">
        <v>281</v>
      </c>
      <c r="E184" s="17">
        <v>0.5</v>
      </c>
      <c r="F184" t="s">
        <v>313</v>
      </c>
      <c r="G184">
        <v>0.5</v>
      </c>
      <c r="Q184" s="1"/>
      <c r="R184" s="1"/>
    </row>
    <row r="185" spans="1:18" ht="15.75" customHeight="1" x14ac:dyDescent="0.25">
      <c r="A185" s="2">
        <v>5442965</v>
      </c>
      <c r="B185">
        <v>5442965</v>
      </c>
      <c r="C185" t="str">
        <f t="shared" si="3"/>
        <v>Link</v>
      </c>
      <c r="D185" t="s">
        <v>281</v>
      </c>
      <c r="E185" s="17">
        <v>0.5</v>
      </c>
      <c r="F185" t="s">
        <v>314</v>
      </c>
      <c r="G185">
        <v>0.5</v>
      </c>
      <c r="Q185" s="1"/>
      <c r="R185" s="1"/>
    </row>
    <row r="186" spans="1:18" ht="15.75" customHeight="1" x14ac:dyDescent="0.25">
      <c r="A186" s="2">
        <v>5442965</v>
      </c>
      <c r="B186">
        <v>5442965</v>
      </c>
      <c r="C186" t="str">
        <f t="shared" si="3"/>
        <v>Link</v>
      </c>
      <c r="D186" t="s">
        <v>281</v>
      </c>
      <c r="E186" s="17">
        <v>0.5</v>
      </c>
      <c r="F186" t="s">
        <v>315</v>
      </c>
      <c r="G186">
        <v>0.5</v>
      </c>
      <c r="Q186" s="1"/>
      <c r="R186" s="1"/>
    </row>
    <row r="187" spans="1:18" ht="15.75" customHeight="1" x14ac:dyDescent="0.25">
      <c r="A187" s="2">
        <v>5442965</v>
      </c>
      <c r="B187">
        <v>5442965</v>
      </c>
      <c r="C187" t="str">
        <f t="shared" si="3"/>
        <v>Link</v>
      </c>
      <c r="D187" t="s">
        <v>281</v>
      </c>
      <c r="E187" s="17">
        <v>0.5</v>
      </c>
      <c r="F187" t="s">
        <v>316</v>
      </c>
      <c r="G187">
        <v>0.5</v>
      </c>
      <c r="Q187" s="1"/>
      <c r="R187" s="1"/>
    </row>
    <row r="188" spans="1:18" ht="15.75" customHeight="1" x14ac:dyDescent="0.25">
      <c r="A188" s="2">
        <v>5442965</v>
      </c>
      <c r="B188">
        <v>5442965</v>
      </c>
      <c r="C188" t="str">
        <f t="shared" si="3"/>
        <v>Link</v>
      </c>
      <c r="D188" t="s">
        <v>281</v>
      </c>
      <c r="E188" s="17">
        <v>0.5</v>
      </c>
      <c r="F188" t="s">
        <v>317</v>
      </c>
      <c r="G188">
        <v>0.5</v>
      </c>
      <c r="Q188" s="1"/>
      <c r="R188" s="1"/>
    </row>
    <row r="189" spans="1:18" ht="15.75" customHeight="1" x14ac:dyDescent="0.25">
      <c r="A189" s="2">
        <v>5442966</v>
      </c>
      <c r="B189">
        <v>5442966</v>
      </c>
      <c r="C189" t="str">
        <f>HYPERLINK("https://ois.dk/map/5442966/sfe", "Link")</f>
        <v>Link</v>
      </c>
      <c r="D189" t="s">
        <v>318</v>
      </c>
      <c r="E189" s="17">
        <v>0.5</v>
      </c>
      <c r="F189" t="s">
        <v>319</v>
      </c>
      <c r="G189">
        <v>0.5</v>
      </c>
      <c r="Q189" s="1"/>
      <c r="R189" s="1"/>
    </row>
    <row r="190" spans="1:18" ht="15.75" customHeight="1" x14ac:dyDescent="0.25">
      <c r="A190" s="2">
        <v>5442969</v>
      </c>
      <c r="B190">
        <v>5442969</v>
      </c>
      <c r="C190" t="str">
        <f>HYPERLINK("https://ois.dk/map/5442969/sfe", "Link")</f>
        <v>Link</v>
      </c>
      <c r="D190" t="s">
        <v>320</v>
      </c>
      <c r="E190" s="17">
        <v>0.5</v>
      </c>
      <c r="F190" t="s">
        <v>321</v>
      </c>
      <c r="G190">
        <v>0.5</v>
      </c>
      <c r="Q190" s="1"/>
      <c r="R190" s="1"/>
    </row>
    <row r="191" spans="1:18" ht="15.75" customHeight="1" x14ac:dyDescent="0.25">
      <c r="A191" s="2">
        <v>5442970</v>
      </c>
      <c r="B191">
        <v>5442970</v>
      </c>
      <c r="C191" t="str">
        <f>HYPERLINK("https://ois.dk/map/5442970/sfe", "Link")</f>
        <v>Link</v>
      </c>
      <c r="D191" t="s">
        <v>322</v>
      </c>
      <c r="E191" s="17">
        <v>0.5</v>
      </c>
      <c r="F191" t="s">
        <v>323</v>
      </c>
      <c r="G191">
        <v>0.5</v>
      </c>
      <c r="Q191" s="1"/>
      <c r="R191" s="1"/>
    </row>
    <row r="192" spans="1:18" ht="15.75" customHeight="1" x14ac:dyDescent="0.25">
      <c r="A192" s="2">
        <v>5442971</v>
      </c>
      <c r="B192">
        <v>5442971</v>
      </c>
      <c r="C192" t="str">
        <f>HYPERLINK("https://ois.dk/map/5442971/sfe", "Link")</f>
        <v>Link</v>
      </c>
      <c r="D192" t="s">
        <v>324</v>
      </c>
      <c r="E192" s="17">
        <v>0.25</v>
      </c>
      <c r="F192" t="s">
        <v>325</v>
      </c>
      <c r="H192">
        <v>0.25</v>
      </c>
      <c r="Q192" s="1"/>
      <c r="R192" s="1"/>
    </row>
    <row r="193" spans="1:19" ht="15.75" customHeight="1" x14ac:dyDescent="0.25">
      <c r="A193" s="2">
        <v>5442971</v>
      </c>
      <c r="B193">
        <v>5442971</v>
      </c>
      <c r="C193" t="str">
        <f>HYPERLINK("https://ois.dk/map/5442971/sfe", "Link")</f>
        <v>Link</v>
      </c>
      <c r="D193" t="s">
        <v>324</v>
      </c>
      <c r="E193" s="17">
        <v>0.5</v>
      </c>
      <c r="F193" t="s">
        <v>325</v>
      </c>
      <c r="G193">
        <v>0.5</v>
      </c>
      <c r="Q193" s="1"/>
      <c r="R193" s="1"/>
    </row>
    <row r="194" spans="1:19" ht="15.75" customHeight="1" x14ac:dyDescent="0.25">
      <c r="A194" s="2">
        <v>5442971</v>
      </c>
      <c r="B194">
        <v>5442971</v>
      </c>
      <c r="C194" t="str">
        <f>HYPERLINK("https://ois.dk/map/5442971/sfe", "Link")</f>
        <v>Link</v>
      </c>
      <c r="D194" t="s">
        <v>324</v>
      </c>
      <c r="E194" s="17">
        <v>0.5</v>
      </c>
      <c r="F194" t="s">
        <v>326</v>
      </c>
      <c r="G194">
        <v>0.5</v>
      </c>
      <c r="Q194" s="1"/>
      <c r="R194" s="1"/>
    </row>
    <row r="195" spans="1:19" ht="15.75" customHeight="1" x14ac:dyDescent="0.25">
      <c r="A195" s="2">
        <v>5442971</v>
      </c>
      <c r="B195">
        <v>5442971</v>
      </c>
      <c r="C195" t="str">
        <f>HYPERLINK("https://ois.dk/map/5442971/sfe", "Link")</f>
        <v>Link</v>
      </c>
      <c r="D195" t="s">
        <v>324</v>
      </c>
      <c r="E195" s="17">
        <v>0.5</v>
      </c>
      <c r="F195" t="s">
        <v>327</v>
      </c>
      <c r="G195">
        <v>0.5</v>
      </c>
      <c r="Q195" s="1"/>
      <c r="R195" s="1"/>
    </row>
    <row r="196" spans="1:19" ht="15.75" customHeight="1" x14ac:dyDescent="0.25">
      <c r="A196" s="2">
        <v>5442972</v>
      </c>
      <c r="B196">
        <v>5442972</v>
      </c>
      <c r="C196" t="str">
        <f>HYPERLINK("https://ois.dk/map/5442972/sfe", "Link")</f>
        <v>Link</v>
      </c>
      <c r="D196" t="s">
        <v>328</v>
      </c>
      <c r="E196" s="17">
        <v>0.5</v>
      </c>
      <c r="F196" t="s">
        <v>329</v>
      </c>
      <c r="G196">
        <v>0.5</v>
      </c>
      <c r="Q196" s="1"/>
      <c r="R196" s="1"/>
    </row>
    <row r="197" spans="1:19" ht="15.75" customHeight="1" x14ac:dyDescent="0.25">
      <c r="A197" s="2">
        <v>5442973</v>
      </c>
      <c r="B197">
        <v>286561</v>
      </c>
      <c r="C197" t="str">
        <f t="shared" ref="C197:C202" si="4">HYPERLINK("https://ois.dk/map/286561/sfe", "Link")</f>
        <v>Link</v>
      </c>
      <c r="D197" t="s">
        <v>330</v>
      </c>
      <c r="E197" s="17">
        <v>0.5</v>
      </c>
      <c r="F197" t="s">
        <v>331</v>
      </c>
      <c r="G197">
        <v>0.5</v>
      </c>
      <c r="Q197" s="1"/>
      <c r="R197" s="1"/>
    </row>
    <row r="198" spans="1:19" ht="15.75" customHeight="1" x14ac:dyDescent="0.25">
      <c r="A198" s="2">
        <v>5442973</v>
      </c>
      <c r="B198">
        <v>286561</v>
      </c>
      <c r="C198" t="str">
        <f t="shared" si="4"/>
        <v>Link</v>
      </c>
      <c r="D198" t="s">
        <v>330</v>
      </c>
      <c r="E198" s="17">
        <v>0.5</v>
      </c>
      <c r="F198" t="s">
        <v>332</v>
      </c>
      <c r="G198">
        <v>0.5</v>
      </c>
      <c r="Q198" s="1"/>
      <c r="R198" s="1"/>
    </row>
    <row r="199" spans="1:19" ht="15.75" customHeight="1" x14ac:dyDescent="0.25">
      <c r="A199" s="2">
        <v>5442973</v>
      </c>
      <c r="B199">
        <v>286561</v>
      </c>
      <c r="C199" t="str">
        <f t="shared" si="4"/>
        <v>Link</v>
      </c>
      <c r="D199" t="s">
        <v>330</v>
      </c>
      <c r="E199" s="17">
        <v>0.5</v>
      </c>
      <c r="F199" t="s">
        <v>333</v>
      </c>
      <c r="G199">
        <v>0.5</v>
      </c>
      <c r="Q199" s="1"/>
      <c r="R199" s="1"/>
    </row>
    <row r="200" spans="1:19" ht="15.75" customHeight="1" x14ac:dyDescent="0.25">
      <c r="A200" s="2">
        <v>5442973</v>
      </c>
      <c r="B200">
        <v>286561</v>
      </c>
      <c r="C200" t="str">
        <f t="shared" si="4"/>
        <v>Link</v>
      </c>
      <c r="D200" t="s">
        <v>330</v>
      </c>
      <c r="E200" s="17">
        <v>0.5</v>
      </c>
      <c r="F200" t="s">
        <v>334</v>
      </c>
      <c r="G200">
        <v>0.5</v>
      </c>
      <c r="Q200" s="1"/>
      <c r="R200" s="1"/>
    </row>
    <row r="201" spans="1:19" ht="15.75" customHeight="1" x14ac:dyDescent="0.25">
      <c r="A201" s="2">
        <v>5442973</v>
      </c>
      <c r="B201">
        <v>286561</v>
      </c>
      <c r="C201" t="str">
        <f t="shared" si="4"/>
        <v>Link</v>
      </c>
      <c r="D201" t="s">
        <v>330</v>
      </c>
      <c r="E201" s="17">
        <v>0.5</v>
      </c>
      <c r="F201" t="s">
        <v>335</v>
      </c>
      <c r="G201">
        <v>0.5</v>
      </c>
      <c r="Q201" s="1"/>
      <c r="R201" s="1"/>
    </row>
    <row r="202" spans="1:19" ht="15.75" customHeight="1" x14ac:dyDescent="0.25">
      <c r="A202" s="2">
        <v>5442973</v>
      </c>
      <c r="B202">
        <v>286561</v>
      </c>
      <c r="C202" t="str">
        <f t="shared" si="4"/>
        <v>Link</v>
      </c>
      <c r="D202" t="s">
        <v>330</v>
      </c>
      <c r="E202" s="17">
        <v>0.5</v>
      </c>
      <c r="F202" t="s">
        <v>336</v>
      </c>
      <c r="G202">
        <v>0.5</v>
      </c>
      <c r="Q202" s="1"/>
      <c r="R202" s="1"/>
    </row>
    <row r="203" spans="1:19" ht="15.75" customHeight="1" x14ac:dyDescent="0.25">
      <c r="A203" s="2">
        <v>5442973</v>
      </c>
      <c r="B203">
        <v>286562</v>
      </c>
      <c r="C203" t="str">
        <f>HYPERLINK("https://ois.dk/map/286562/sfe", "Link")</f>
        <v>Link</v>
      </c>
      <c r="D203" t="s">
        <v>330</v>
      </c>
      <c r="E203" s="17">
        <v>0.5</v>
      </c>
      <c r="F203" t="s">
        <v>337</v>
      </c>
      <c r="G203">
        <v>0.5</v>
      </c>
      <c r="Q203" s="1"/>
      <c r="R203" s="1"/>
    </row>
    <row r="204" spans="1:19" ht="15.75" customHeight="1" x14ac:dyDescent="0.25">
      <c r="A204" s="2">
        <v>5442973</v>
      </c>
      <c r="B204">
        <v>286563</v>
      </c>
      <c r="C204" t="str">
        <f>HYPERLINK("https://ois.dk/map/286563/sfe", "Link")</f>
        <v>Link</v>
      </c>
      <c r="D204" t="s">
        <v>330</v>
      </c>
      <c r="E204" s="17">
        <v>0.5</v>
      </c>
      <c r="F204" t="s">
        <v>338</v>
      </c>
      <c r="G204">
        <v>0.5</v>
      </c>
      <c r="Q204" s="1"/>
      <c r="R204" s="1"/>
    </row>
    <row r="205" spans="1:19" ht="15.75" customHeight="1" x14ac:dyDescent="0.25">
      <c r="A205" s="2">
        <v>5442973</v>
      </c>
      <c r="B205">
        <v>286564</v>
      </c>
      <c r="C205" t="str">
        <f>HYPERLINK("https://ois.dk/map/286564/sfe", "Link")</f>
        <v>Link</v>
      </c>
      <c r="D205" t="s">
        <v>330</v>
      </c>
      <c r="E205" s="17">
        <v>0.5</v>
      </c>
      <c r="F205" t="s">
        <v>339</v>
      </c>
      <c r="G205">
        <v>0.5</v>
      </c>
      <c r="Q205" s="1"/>
      <c r="R205" s="1"/>
    </row>
    <row r="206" spans="1:19" ht="15.75" customHeight="1" x14ac:dyDescent="0.25">
      <c r="A206" s="2">
        <v>5442973</v>
      </c>
      <c r="B206">
        <v>286565</v>
      </c>
      <c r="C206" t="str">
        <f>HYPERLINK("https://ois.dk/map/286565/sfe", "Link")</f>
        <v>Link</v>
      </c>
      <c r="D206" t="s">
        <v>330</v>
      </c>
      <c r="E206" s="17">
        <v>0.5</v>
      </c>
      <c r="F206" t="s">
        <v>340</v>
      </c>
      <c r="G206">
        <v>0.5</v>
      </c>
      <c r="Q206" s="1"/>
      <c r="R206" s="1"/>
    </row>
    <row r="207" spans="1:19" ht="15.75" customHeight="1" x14ac:dyDescent="0.25">
      <c r="A207" s="2">
        <v>5442973</v>
      </c>
      <c r="B207">
        <v>286566</v>
      </c>
      <c r="C207" t="str">
        <f>HYPERLINK("https://ois.dk/map/286566/sfe", "Link")</f>
        <v>Link</v>
      </c>
      <c r="D207" t="s">
        <v>330</v>
      </c>
      <c r="E207" s="17">
        <v>0.5</v>
      </c>
      <c r="F207" t="s">
        <v>341</v>
      </c>
      <c r="G207">
        <v>0.5</v>
      </c>
      <c r="Q207" s="1"/>
      <c r="R207" s="1"/>
    </row>
    <row r="208" spans="1:19" ht="15.75" customHeight="1" x14ac:dyDescent="0.25">
      <c r="A208" s="2">
        <v>5442974</v>
      </c>
      <c r="B208">
        <v>5442974</v>
      </c>
      <c r="C208" t="str">
        <f>HYPERLINK("https://ois.dk/map/5442974/sfe", "Link")</f>
        <v>Link</v>
      </c>
      <c r="D208" t="s">
        <v>342</v>
      </c>
      <c r="E208" s="17">
        <v>0.54999999999999982</v>
      </c>
      <c r="F208" t="s">
        <v>343</v>
      </c>
      <c r="H208">
        <v>0.25</v>
      </c>
      <c r="J208">
        <v>0.3</v>
      </c>
      <c r="Q208" s="1"/>
      <c r="R208" s="1"/>
      <c r="S208">
        <v>1.8</v>
      </c>
    </row>
    <row r="209" spans="1:19" ht="15.75" customHeight="1" x14ac:dyDescent="0.25">
      <c r="A209" s="2">
        <v>5442974</v>
      </c>
      <c r="B209">
        <v>5442974</v>
      </c>
      <c r="C209" t="str">
        <f>HYPERLINK("https://ois.dk/map/5442974/sfe", "Link")</f>
        <v>Link</v>
      </c>
      <c r="D209" t="s">
        <v>342</v>
      </c>
      <c r="E209" s="17">
        <v>0.5</v>
      </c>
      <c r="F209" t="s">
        <v>344</v>
      </c>
      <c r="G209">
        <v>0.5</v>
      </c>
      <c r="Q209" s="1"/>
      <c r="R209" s="1"/>
      <c r="S209">
        <v>1.8</v>
      </c>
    </row>
    <row r="210" spans="1:19" ht="15.75" customHeight="1" x14ac:dyDescent="0.25">
      <c r="A210" s="2">
        <v>5442974</v>
      </c>
      <c r="B210">
        <v>5442974</v>
      </c>
      <c r="C210" t="str">
        <f>HYPERLINK("https://ois.dk/map/5442974/sfe", "Link")</f>
        <v>Link</v>
      </c>
      <c r="D210" t="s">
        <v>342</v>
      </c>
      <c r="E210" s="17">
        <v>0.5</v>
      </c>
      <c r="F210" t="s">
        <v>345</v>
      </c>
      <c r="G210">
        <v>0.5</v>
      </c>
      <c r="Q210" s="1"/>
      <c r="R210" s="1"/>
      <c r="S210">
        <v>1.8</v>
      </c>
    </row>
    <row r="211" spans="1:19" ht="15.75" customHeight="1" x14ac:dyDescent="0.25">
      <c r="A211" s="2">
        <v>5442974</v>
      </c>
      <c r="B211">
        <v>5442974</v>
      </c>
      <c r="C211" t="str">
        <f>HYPERLINK("https://ois.dk/map/5442974/sfe", "Link")</f>
        <v>Link</v>
      </c>
      <c r="D211" t="s">
        <v>342</v>
      </c>
      <c r="E211" s="17">
        <v>0.5</v>
      </c>
      <c r="F211" t="s">
        <v>346</v>
      </c>
      <c r="G211">
        <v>0.5</v>
      </c>
      <c r="Q211" s="1"/>
      <c r="R211" s="1"/>
      <c r="S211">
        <v>1.8</v>
      </c>
    </row>
    <row r="212" spans="1:19" ht="15.75" customHeight="1" x14ac:dyDescent="0.25">
      <c r="A212" s="2">
        <v>5442975</v>
      </c>
      <c r="B212">
        <v>5442975</v>
      </c>
      <c r="C212" t="str">
        <f>HYPERLINK("https://ois.dk/map/5442975/sfe", "Link")</f>
        <v>Link</v>
      </c>
      <c r="D212" t="s">
        <v>347</v>
      </c>
      <c r="E212" s="17">
        <v>0.25</v>
      </c>
      <c r="F212" t="s">
        <v>348</v>
      </c>
      <c r="H212">
        <v>0.25</v>
      </c>
      <c r="Q212" s="1"/>
      <c r="R212" s="1"/>
    </row>
    <row r="213" spans="1:19" ht="15.75" customHeight="1" x14ac:dyDescent="0.25">
      <c r="A213" s="2">
        <v>5442975</v>
      </c>
      <c r="B213">
        <v>5442975</v>
      </c>
      <c r="C213" t="str">
        <f>HYPERLINK("https://ois.dk/map/5442975/sfe", "Link")</f>
        <v>Link</v>
      </c>
      <c r="D213" t="s">
        <v>347</v>
      </c>
      <c r="E213" s="17">
        <v>0.5</v>
      </c>
      <c r="F213" t="s">
        <v>348</v>
      </c>
      <c r="G213">
        <v>0.5</v>
      </c>
      <c r="Q213" s="1"/>
      <c r="R213" s="1"/>
    </row>
    <row r="214" spans="1:19" ht="15.75" customHeight="1" x14ac:dyDescent="0.25">
      <c r="A214" s="2">
        <v>5442975</v>
      </c>
      <c r="B214">
        <v>5442975</v>
      </c>
      <c r="C214" t="str">
        <f>HYPERLINK("https://ois.dk/map/5442975/sfe", "Link")</f>
        <v>Link</v>
      </c>
      <c r="D214" t="s">
        <v>347</v>
      </c>
      <c r="E214" s="17">
        <v>0.5</v>
      </c>
      <c r="F214" t="s">
        <v>349</v>
      </c>
      <c r="G214">
        <v>0.5</v>
      </c>
      <c r="Q214" s="1"/>
      <c r="R214" s="1"/>
    </row>
    <row r="215" spans="1:19" ht="15.75" customHeight="1" x14ac:dyDescent="0.25">
      <c r="A215" s="2">
        <v>5442975</v>
      </c>
      <c r="B215">
        <v>5442975</v>
      </c>
      <c r="C215" t="str">
        <f>HYPERLINK("https://ois.dk/map/5442975/sfe", "Link")</f>
        <v>Link</v>
      </c>
      <c r="D215" t="s">
        <v>347</v>
      </c>
      <c r="E215" s="17">
        <v>0.5</v>
      </c>
      <c r="F215" t="s">
        <v>350</v>
      </c>
      <c r="G215">
        <v>0.5</v>
      </c>
      <c r="Q215" s="1"/>
      <c r="R215" s="1"/>
    </row>
    <row r="216" spans="1:19" ht="15.75" customHeight="1" x14ac:dyDescent="0.25">
      <c r="A216" s="2">
        <v>5442976</v>
      </c>
      <c r="B216">
        <v>5442976</v>
      </c>
      <c r="C216" t="str">
        <f t="shared" ref="C216:C223" si="5">HYPERLINK("https://ois.dk/map/5442976/sfe", "Link")</f>
        <v>Link</v>
      </c>
      <c r="D216" t="s">
        <v>351</v>
      </c>
      <c r="E216" s="17">
        <v>0.25</v>
      </c>
      <c r="F216" t="s">
        <v>352</v>
      </c>
      <c r="H216">
        <v>0.25</v>
      </c>
      <c r="Q216" s="1"/>
      <c r="R216" s="1"/>
    </row>
    <row r="217" spans="1:19" ht="15.75" customHeight="1" x14ac:dyDescent="0.25">
      <c r="A217" s="2">
        <v>5442976</v>
      </c>
      <c r="B217">
        <v>5442976</v>
      </c>
      <c r="C217" t="str">
        <f t="shared" si="5"/>
        <v>Link</v>
      </c>
      <c r="D217" t="s">
        <v>351</v>
      </c>
      <c r="E217" s="17">
        <v>0.5</v>
      </c>
      <c r="F217" t="s">
        <v>352</v>
      </c>
      <c r="G217">
        <v>0.5</v>
      </c>
      <c r="Q217" s="1"/>
      <c r="R217" s="1"/>
    </row>
    <row r="218" spans="1:19" ht="15.75" customHeight="1" x14ac:dyDescent="0.25">
      <c r="A218" s="2">
        <v>5442976</v>
      </c>
      <c r="B218">
        <v>5442976</v>
      </c>
      <c r="C218" t="str">
        <f t="shared" si="5"/>
        <v>Link</v>
      </c>
      <c r="D218" t="s">
        <v>351</v>
      </c>
      <c r="E218" s="17">
        <v>0.5</v>
      </c>
      <c r="F218" t="s">
        <v>353</v>
      </c>
      <c r="G218">
        <v>0.5</v>
      </c>
      <c r="Q218" s="1"/>
      <c r="R218" s="1"/>
    </row>
    <row r="219" spans="1:19" ht="15.75" customHeight="1" x14ac:dyDescent="0.25">
      <c r="A219" s="2">
        <v>5442976</v>
      </c>
      <c r="B219">
        <v>5442976</v>
      </c>
      <c r="C219" t="str">
        <f t="shared" si="5"/>
        <v>Link</v>
      </c>
      <c r="D219" t="s">
        <v>351</v>
      </c>
      <c r="E219" s="17">
        <v>0.5</v>
      </c>
      <c r="F219" t="s">
        <v>354</v>
      </c>
      <c r="G219">
        <v>0.5</v>
      </c>
      <c r="Q219" s="1"/>
      <c r="R219" s="1"/>
    </row>
    <row r="220" spans="1:19" ht="15.75" customHeight="1" x14ac:dyDescent="0.25">
      <c r="A220" s="2">
        <v>5442976</v>
      </c>
      <c r="B220">
        <v>5442976</v>
      </c>
      <c r="C220" t="str">
        <f t="shared" si="5"/>
        <v>Link</v>
      </c>
      <c r="D220" t="s">
        <v>351</v>
      </c>
      <c r="E220" s="17">
        <v>0.5</v>
      </c>
      <c r="F220" t="s">
        <v>355</v>
      </c>
      <c r="G220">
        <v>0.5</v>
      </c>
      <c r="Q220" s="1"/>
      <c r="R220" s="1"/>
    </row>
    <row r="221" spans="1:19" ht="15.75" customHeight="1" x14ac:dyDescent="0.25">
      <c r="A221" s="2">
        <v>5442976</v>
      </c>
      <c r="B221">
        <v>5442976</v>
      </c>
      <c r="C221" t="str">
        <f t="shared" si="5"/>
        <v>Link</v>
      </c>
      <c r="D221" t="s">
        <v>351</v>
      </c>
      <c r="E221" s="17">
        <v>0.5</v>
      </c>
      <c r="F221" t="s">
        <v>356</v>
      </c>
      <c r="G221">
        <v>0.5</v>
      </c>
      <c r="Q221" s="1"/>
      <c r="R221" s="1"/>
    </row>
    <row r="222" spans="1:19" ht="15.75" customHeight="1" x14ac:dyDescent="0.25">
      <c r="A222" s="2">
        <v>5442976</v>
      </c>
      <c r="B222">
        <v>5442976</v>
      </c>
      <c r="C222" t="str">
        <f t="shared" si="5"/>
        <v>Link</v>
      </c>
      <c r="D222" t="s">
        <v>351</v>
      </c>
      <c r="E222" s="17">
        <v>0.5</v>
      </c>
      <c r="F222" t="s">
        <v>357</v>
      </c>
      <c r="G222">
        <v>0.5</v>
      </c>
      <c r="Q222" s="1"/>
      <c r="R222" s="1"/>
    </row>
    <row r="223" spans="1:19" ht="15.75" customHeight="1" x14ac:dyDescent="0.25">
      <c r="A223" s="2">
        <v>5442976</v>
      </c>
      <c r="B223">
        <v>5442976</v>
      </c>
      <c r="C223" t="str">
        <f t="shared" si="5"/>
        <v>Link</v>
      </c>
      <c r="D223" t="s">
        <v>351</v>
      </c>
      <c r="E223" s="17">
        <v>0.5</v>
      </c>
      <c r="F223" t="s">
        <v>358</v>
      </c>
      <c r="G223">
        <v>0.5</v>
      </c>
      <c r="Q223" s="1"/>
      <c r="R223" s="1"/>
    </row>
    <row r="224" spans="1:19" ht="15.75" customHeight="1" x14ac:dyDescent="0.25">
      <c r="A224" s="2">
        <v>5442977</v>
      </c>
      <c r="B224">
        <v>286567</v>
      </c>
      <c r="C224" t="str">
        <f>HYPERLINK("https://ois.dk/map/286567/sfe", "Link")</f>
        <v>Link</v>
      </c>
      <c r="D224" t="s">
        <v>359</v>
      </c>
      <c r="E224" s="17">
        <v>0.5</v>
      </c>
      <c r="F224" t="s">
        <v>360</v>
      </c>
      <c r="G224">
        <v>0.5</v>
      </c>
      <c r="Q224" s="1"/>
      <c r="R224" s="1"/>
    </row>
    <row r="225" spans="1:18" ht="15.75" customHeight="1" x14ac:dyDescent="0.25">
      <c r="A225" s="2">
        <v>5442977</v>
      </c>
      <c r="B225">
        <v>286568</v>
      </c>
      <c r="C225" t="str">
        <f>HYPERLINK("https://ois.dk/map/286568/sfe", "Link")</f>
        <v>Link</v>
      </c>
      <c r="D225" t="s">
        <v>359</v>
      </c>
      <c r="E225" s="17">
        <v>0.5</v>
      </c>
      <c r="F225" t="s">
        <v>361</v>
      </c>
      <c r="G225">
        <v>0.5</v>
      </c>
      <c r="Q225" s="1"/>
      <c r="R225" s="1"/>
    </row>
    <row r="226" spans="1:18" ht="15.75" customHeight="1" x14ac:dyDescent="0.25">
      <c r="A226" s="2">
        <v>5442977</v>
      </c>
      <c r="B226">
        <v>286569</v>
      </c>
      <c r="C226" t="str">
        <f>HYPERLINK("https://ois.dk/map/286569/sfe", "Link")</f>
        <v>Link</v>
      </c>
      <c r="D226" t="s">
        <v>359</v>
      </c>
      <c r="E226" s="17">
        <v>0.5</v>
      </c>
      <c r="F226" t="s">
        <v>362</v>
      </c>
      <c r="G226">
        <v>0.5</v>
      </c>
      <c r="Q226" s="1"/>
      <c r="R226" s="1"/>
    </row>
    <row r="227" spans="1:18" ht="15.75" customHeight="1" x14ac:dyDescent="0.25">
      <c r="A227" s="2">
        <v>5442977</v>
      </c>
      <c r="B227">
        <v>286570</v>
      </c>
      <c r="C227" t="str">
        <f>HYPERLINK("https://ois.dk/map/286570/sfe", "Link")</f>
        <v>Link</v>
      </c>
      <c r="D227" t="s">
        <v>359</v>
      </c>
      <c r="E227" s="17">
        <v>0.5</v>
      </c>
      <c r="F227" t="s">
        <v>363</v>
      </c>
      <c r="G227">
        <v>0.5</v>
      </c>
      <c r="Q227" s="1"/>
      <c r="R227" s="1"/>
    </row>
    <row r="228" spans="1:18" ht="15.75" customHeight="1" x14ac:dyDescent="0.25">
      <c r="A228" s="2">
        <v>5442977</v>
      </c>
      <c r="B228">
        <v>286570</v>
      </c>
      <c r="C228" t="str">
        <f>HYPERLINK("https://ois.dk/map/286570/sfe", "Link")</f>
        <v>Link</v>
      </c>
      <c r="D228" t="s">
        <v>359</v>
      </c>
      <c r="E228" s="17">
        <v>0.5</v>
      </c>
      <c r="F228" t="s">
        <v>364</v>
      </c>
      <c r="G228">
        <v>0.5</v>
      </c>
      <c r="Q228" s="1"/>
      <c r="R228" s="1"/>
    </row>
    <row r="229" spans="1:18" ht="15.75" customHeight="1" x14ac:dyDescent="0.25">
      <c r="A229" s="2">
        <v>5442977</v>
      </c>
      <c r="B229">
        <v>5442977</v>
      </c>
      <c r="C229" t="str">
        <f>HYPERLINK("https://ois.dk/map/5442977/sfe", "Link")</f>
        <v>Link</v>
      </c>
      <c r="D229" t="s">
        <v>359</v>
      </c>
      <c r="E229" s="17">
        <v>0.25</v>
      </c>
      <c r="F229" t="s">
        <v>361</v>
      </c>
      <c r="H229">
        <v>0.25</v>
      </c>
      <c r="Q229" s="1"/>
      <c r="R229" s="1"/>
    </row>
    <row r="230" spans="1:18" ht="15.75" customHeight="1" x14ac:dyDescent="0.25">
      <c r="A230" s="2">
        <v>5442978</v>
      </c>
      <c r="B230">
        <v>5442978</v>
      </c>
      <c r="C230" t="str">
        <f t="shared" ref="C230:C236" si="6">HYPERLINK("https://ois.dk/map/5442978/sfe", "Link")</f>
        <v>Link</v>
      </c>
      <c r="D230" t="s">
        <v>365</v>
      </c>
      <c r="E230" s="17">
        <v>0.5</v>
      </c>
      <c r="F230" t="s">
        <v>366</v>
      </c>
      <c r="G230">
        <v>0.5</v>
      </c>
      <c r="Q230" s="1"/>
      <c r="R230" s="1"/>
    </row>
    <row r="231" spans="1:18" ht="15.75" customHeight="1" x14ac:dyDescent="0.25">
      <c r="A231" s="2">
        <v>5442978</v>
      </c>
      <c r="B231">
        <v>5442978</v>
      </c>
      <c r="C231" t="str">
        <f t="shared" si="6"/>
        <v>Link</v>
      </c>
      <c r="D231" t="s">
        <v>365</v>
      </c>
      <c r="E231" s="17">
        <v>0.5</v>
      </c>
      <c r="F231" t="s">
        <v>367</v>
      </c>
      <c r="G231">
        <v>0.5</v>
      </c>
      <c r="Q231" s="1"/>
      <c r="R231" s="1"/>
    </row>
    <row r="232" spans="1:18" ht="15.75" customHeight="1" x14ac:dyDescent="0.25">
      <c r="A232" s="2">
        <v>5442978</v>
      </c>
      <c r="B232">
        <v>5442978</v>
      </c>
      <c r="C232" t="str">
        <f t="shared" si="6"/>
        <v>Link</v>
      </c>
      <c r="D232" t="s">
        <v>365</v>
      </c>
      <c r="E232" s="17">
        <v>0.5</v>
      </c>
      <c r="F232" t="s">
        <v>368</v>
      </c>
      <c r="G232">
        <v>0.5</v>
      </c>
      <c r="Q232" s="1"/>
      <c r="R232" s="1"/>
    </row>
    <row r="233" spans="1:18" ht="15.75" customHeight="1" x14ac:dyDescent="0.25">
      <c r="A233" s="2">
        <v>5442978</v>
      </c>
      <c r="B233">
        <v>5442978</v>
      </c>
      <c r="C233" t="str">
        <f t="shared" si="6"/>
        <v>Link</v>
      </c>
      <c r="D233" t="s">
        <v>365</v>
      </c>
      <c r="E233" s="17">
        <v>0.5</v>
      </c>
      <c r="F233" t="s">
        <v>369</v>
      </c>
      <c r="G233">
        <v>0.5</v>
      </c>
      <c r="Q233" s="1"/>
      <c r="R233" s="1"/>
    </row>
    <row r="234" spans="1:18" ht="15.75" customHeight="1" x14ac:dyDescent="0.25">
      <c r="A234" s="2">
        <v>5442978</v>
      </c>
      <c r="B234">
        <v>5442978</v>
      </c>
      <c r="C234" t="str">
        <f t="shared" si="6"/>
        <v>Link</v>
      </c>
      <c r="D234" t="s">
        <v>365</v>
      </c>
      <c r="E234" s="17">
        <v>0.5</v>
      </c>
      <c r="F234" t="s">
        <v>370</v>
      </c>
      <c r="G234">
        <v>0.5</v>
      </c>
      <c r="Q234" s="1"/>
      <c r="R234" s="1"/>
    </row>
    <row r="235" spans="1:18" ht="15.75" customHeight="1" x14ac:dyDescent="0.25">
      <c r="A235" s="2">
        <v>5442978</v>
      </c>
      <c r="B235">
        <v>5442978</v>
      </c>
      <c r="C235" t="str">
        <f t="shared" si="6"/>
        <v>Link</v>
      </c>
      <c r="D235" t="s">
        <v>365</v>
      </c>
      <c r="E235" s="17">
        <v>0.5</v>
      </c>
      <c r="F235" t="s">
        <v>371</v>
      </c>
      <c r="G235">
        <v>0.5</v>
      </c>
      <c r="Q235" s="1"/>
      <c r="R235" s="1"/>
    </row>
    <row r="236" spans="1:18" ht="15.75" customHeight="1" x14ac:dyDescent="0.25">
      <c r="A236" s="2">
        <v>5442978</v>
      </c>
      <c r="B236">
        <v>5442978</v>
      </c>
      <c r="C236" t="str">
        <f t="shared" si="6"/>
        <v>Link</v>
      </c>
      <c r="D236" t="s">
        <v>365</v>
      </c>
      <c r="E236" s="17">
        <v>0.5</v>
      </c>
      <c r="F236" t="s">
        <v>372</v>
      </c>
      <c r="G236">
        <v>0.5</v>
      </c>
      <c r="Q236" s="1"/>
      <c r="R236" s="1"/>
    </row>
    <row r="237" spans="1:18" ht="15.75" customHeight="1" x14ac:dyDescent="0.25">
      <c r="A237" s="2">
        <v>5442979</v>
      </c>
      <c r="B237">
        <v>5442979</v>
      </c>
      <c r="C237" t="str">
        <f>HYPERLINK("https://ois.dk/map/5442979/sfe", "Link")</f>
        <v>Link</v>
      </c>
      <c r="D237" t="s">
        <v>373</v>
      </c>
      <c r="E237" s="17">
        <v>1.75</v>
      </c>
      <c r="F237" t="s">
        <v>374</v>
      </c>
      <c r="G237">
        <v>0.5</v>
      </c>
      <c r="H237">
        <v>0.25</v>
      </c>
      <c r="I237">
        <v>1</v>
      </c>
      <c r="Q237" s="1"/>
      <c r="R237" s="1">
        <v>1.52</v>
      </c>
    </row>
    <row r="238" spans="1:18" ht="15.75" customHeight="1" x14ac:dyDescent="0.25">
      <c r="A238" s="2">
        <v>5442980</v>
      </c>
      <c r="B238">
        <v>5442980</v>
      </c>
      <c r="C238" t="str">
        <f>HYPERLINK("https://ois.dk/map/5442980/sfe", "Link")</f>
        <v>Link</v>
      </c>
      <c r="D238" t="s">
        <v>375</v>
      </c>
      <c r="E238" s="17">
        <v>0.25</v>
      </c>
      <c r="F238" t="s">
        <v>376</v>
      </c>
      <c r="H238">
        <v>0.25</v>
      </c>
      <c r="Q238" s="1"/>
      <c r="R238" s="1"/>
    </row>
    <row r="239" spans="1:18" ht="15.75" customHeight="1" x14ac:dyDescent="0.25">
      <c r="A239" s="2">
        <v>5442980</v>
      </c>
      <c r="B239">
        <v>5442980</v>
      </c>
      <c r="C239" t="str">
        <f>HYPERLINK("https://ois.dk/map/5442980/sfe", "Link")</f>
        <v>Link</v>
      </c>
      <c r="D239" t="s">
        <v>375</v>
      </c>
      <c r="E239" s="17">
        <v>0.5</v>
      </c>
      <c r="F239" t="s">
        <v>377</v>
      </c>
      <c r="G239">
        <v>0.5</v>
      </c>
      <c r="Q239" s="1"/>
      <c r="R239" s="1"/>
    </row>
    <row r="240" spans="1:18" ht="15.75" customHeight="1" x14ac:dyDescent="0.25">
      <c r="A240" s="2">
        <v>5442980</v>
      </c>
      <c r="B240">
        <v>5442980</v>
      </c>
      <c r="C240" t="str">
        <f>HYPERLINK("https://ois.dk/map/5442980/sfe", "Link")</f>
        <v>Link</v>
      </c>
      <c r="D240" t="s">
        <v>375</v>
      </c>
      <c r="E240" s="17">
        <v>0.5</v>
      </c>
      <c r="F240" t="s">
        <v>378</v>
      </c>
      <c r="G240">
        <v>0.5</v>
      </c>
      <c r="Q240" s="1"/>
      <c r="R240" s="1"/>
    </row>
    <row r="241" spans="1:19" ht="15.75" customHeight="1" x14ac:dyDescent="0.25">
      <c r="A241" s="2">
        <v>5442980</v>
      </c>
      <c r="B241">
        <v>5442980</v>
      </c>
      <c r="C241" t="str">
        <f>HYPERLINK("https://ois.dk/map/5442980/sfe", "Link")</f>
        <v>Link</v>
      </c>
      <c r="D241" t="s">
        <v>375</v>
      </c>
      <c r="E241" s="17">
        <v>0.5</v>
      </c>
      <c r="F241" t="s">
        <v>379</v>
      </c>
      <c r="G241">
        <v>0.5</v>
      </c>
      <c r="Q241" s="1"/>
      <c r="R241" s="1"/>
    </row>
    <row r="242" spans="1:19" ht="15.75" customHeight="1" x14ac:dyDescent="0.25">
      <c r="A242" s="2">
        <v>5442981</v>
      </c>
      <c r="B242">
        <v>5442981</v>
      </c>
      <c r="C242" t="str">
        <f>HYPERLINK("https://ois.dk/map/5442981/sfe", "Link")</f>
        <v>Link</v>
      </c>
      <c r="D242" t="s">
        <v>380</v>
      </c>
      <c r="E242" s="17">
        <v>1.75</v>
      </c>
      <c r="F242" t="s">
        <v>381</v>
      </c>
      <c r="G242">
        <v>0.5</v>
      </c>
      <c r="H242">
        <v>0.25</v>
      </c>
      <c r="I242">
        <v>1</v>
      </c>
      <c r="Q242" s="1"/>
      <c r="R242" s="1">
        <v>1.47</v>
      </c>
    </row>
    <row r="243" spans="1:19" ht="15.75" customHeight="1" x14ac:dyDescent="0.25">
      <c r="A243" s="2">
        <v>5442982</v>
      </c>
      <c r="B243">
        <v>286571</v>
      </c>
      <c r="C243" t="str">
        <f>HYPERLINK("https://ois.dk/map/286571/sfe", "Link")</f>
        <v>Link</v>
      </c>
      <c r="D243" t="s">
        <v>382</v>
      </c>
      <c r="E243" s="17">
        <v>0.5</v>
      </c>
      <c r="F243" t="s">
        <v>383</v>
      </c>
      <c r="G243">
        <v>0.5</v>
      </c>
      <c r="Q243" s="1"/>
      <c r="R243" s="1"/>
    </row>
    <row r="244" spans="1:19" ht="15.75" customHeight="1" x14ac:dyDescent="0.25">
      <c r="A244" s="2">
        <v>5442982</v>
      </c>
      <c r="B244">
        <v>286572</v>
      </c>
      <c r="C244" t="str">
        <f>HYPERLINK("https://ois.dk/map/286572/sfe", "Link")</f>
        <v>Link</v>
      </c>
      <c r="D244" t="s">
        <v>382</v>
      </c>
      <c r="E244" s="17">
        <v>0.5</v>
      </c>
      <c r="F244" t="s">
        <v>384</v>
      </c>
      <c r="G244">
        <v>0.5</v>
      </c>
      <c r="Q244" s="1"/>
      <c r="R244" s="1"/>
    </row>
    <row r="245" spans="1:19" ht="15.75" customHeight="1" x14ac:dyDescent="0.25">
      <c r="A245" s="2">
        <v>5442982</v>
      </c>
      <c r="B245">
        <v>286573</v>
      </c>
      <c r="C245" t="str">
        <f>HYPERLINK("https://ois.dk/map/286573/sfe", "Link")</f>
        <v>Link</v>
      </c>
      <c r="D245" t="s">
        <v>382</v>
      </c>
      <c r="E245" s="17">
        <v>0.5</v>
      </c>
      <c r="F245" t="s">
        <v>385</v>
      </c>
      <c r="G245">
        <v>0.5</v>
      </c>
      <c r="Q245" s="1"/>
      <c r="R245" s="1"/>
    </row>
    <row r="246" spans="1:19" ht="15.75" customHeight="1" x14ac:dyDescent="0.25">
      <c r="A246" s="2">
        <v>5442982</v>
      </c>
      <c r="B246">
        <v>286574</v>
      </c>
      <c r="C246" t="str">
        <f>HYPERLINK("https://ois.dk/map/286574/sfe", "Link")</f>
        <v>Link</v>
      </c>
      <c r="D246" t="s">
        <v>382</v>
      </c>
      <c r="E246" s="17">
        <v>0.5</v>
      </c>
      <c r="F246" t="s">
        <v>386</v>
      </c>
      <c r="G246">
        <v>0.5</v>
      </c>
      <c r="Q246" s="1"/>
      <c r="R246" s="1"/>
    </row>
    <row r="247" spans="1:19" ht="15.75" customHeight="1" x14ac:dyDescent="0.25">
      <c r="A247" s="2">
        <v>5442984</v>
      </c>
      <c r="B247">
        <v>5442984</v>
      </c>
      <c r="C247" t="str">
        <f t="shared" ref="C247:C255" si="7">HYPERLINK("https://ois.dk/map/5442984/sfe", "Link")</f>
        <v>Link</v>
      </c>
      <c r="D247" t="s">
        <v>387</v>
      </c>
      <c r="E247" s="17">
        <v>0.54999999999999982</v>
      </c>
      <c r="F247" t="s">
        <v>388</v>
      </c>
      <c r="H247">
        <v>0.25</v>
      </c>
      <c r="J247">
        <v>0.3</v>
      </c>
      <c r="Q247" s="1"/>
      <c r="R247" s="1">
        <v>2.11</v>
      </c>
      <c r="S247">
        <v>1.89</v>
      </c>
    </row>
    <row r="248" spans="1:19" ht="15.75" customHeight="1" x14ac:dyDescent="0.25">
      <c r="A248" s="2">
        <v>5442984</v>
      </c>
      <c r="B248">
        <v>5442984</v>
      </c>
      <c r="C248" t="str">
        <f t="shared" si="7"/>
        <v>Link</v>
      </c>
      <c r="D248" t="s">
        <v>387</v>
      </c>
      <c r="E248" s="17">
        <v>0.5</v>
      </c>
      <c r="F248" t="s">
        <v>389</v>
      </c>
      <c r="G248">
        <v>0.5</v>
      </c>
      <c r="Q248" s="1"/>
      <c r="R248" s="1"/>
      <c r="S248">
        <v>1.89</v>
      </c>
    </row>
    <row r="249" spans="1:19" ht="15.75" customHeight="1" x14ac:dyDescent="0.25">
      <c r="A249" s="2">
        <v>5442984</v>
      </c>
      <c r="B249">
        <v>5442984</v>
      </c>
      <c r="C249" t="str">
        <f t="shared" si="7"/>
        <v>Link</v>
      </c>
      <c r="D249" t="s">
        <v>387</v>
      </c>
      <c r="E249" s="17">
        <v>0.5</v>
      </c>
      <c r="F249" t="s">
        <v>390</v>
      </c>
      <c r="G249">
        <v>0.5</v>
      </c>
      <c r="Q249" s="1"/>
      <c r="R249" s="1"/>
      <c r="S249">
        <v>1.89</v>
      </c>
    </row>
    <row r="250" spans="1:19" ht="15.75" customHeight="1" x14ac:dyDescent="0.25">
      <c r="A250" s="2">
        <v>5442984</v>
      </c>
      <c r="B250">
        <v>5442984</v>
      </c>
      <c r="C250" t="str">
        <f t="shared" si="7"/>
        <v>Link</v>
      </c>
      <c r="D250" t="s">
        <v>387</v>
      </c>
      <c r="E250" s="17">
        <v>0.5</v>
      </c>
      <c r="F250" t="s">
        <v>391</v>
      </c>
      <c r="G250">
        <v>0.5</v>
      </c>
      <c r="Q250" s="1"/>
      <c r="R250" s="1"/>
      <c r="S250">
        <v>1.89</v>
      </c>
    </row>
    <row r="251" spans="1:19" ht="15.75" customHeight="1" x14ac:dyDescent="0.25">
      <c r="A251" s="2">
        <v>5442984</v>
      </c>
      <c r="B251">
        <v>5442984</v>
      </c>
      <c r="C251" t="str">
        <f t="shared" si="7"/>
        <v>Link</v>
      </c>
      <c r="D251" t="s">
        <v>387</v>
      </c>
      <c r="E251" s="17">
        <v>0.5</v>
      </c>
      <c r="F251" t="s">
        <v>392</v>
      </c>
      <c r="G251">
        <v>0.5</v>
      </c>
      <c r="Q251" s="1"/>
      <c r="R251" s="1"/>
      <c r="S251">
        <v>1.89</v>
      </c>
    </row>
    <row r="252" spans="1:19" ht="15.75" customHeight="1" x14ac:dyDescent="0.25">
      <c r="A252" s="2">
        <v>5442984</v>
      </c>
      <c r="B252">
        <v>5442984</v>
      </c>
      <c r="C252" t="str">
        <f t="shared" si="7"/>
        <v>Link</v>
      </c>
      <c r="D252" t="s">
        <v>387</v>
      </c>
      <c r="E252" s="17">
        <v>0.5</v>
      </c>
      <c r="F252" t="s">
        <v>388</v>
      </c>
      <c r="G252">
        <v>0.5</v>
      </c>
      <c r="Q252" s="1"/>
      <c r="R252" s="1"/>
      <c r="S252">
        <v>1.89</v>
      </c>
    </row>
    <row r="253" spans="1:19" ht="15.75" customHeight="1" x14ac:dyDescent="0.25">
      <c r="A253" s="2">
        <v>5442984</v>
      </c>
      <c r="B253">
        <v>5442984</v>
      </c>
      <c r="C253" t="str">
        <f t="shared" si="7"/>
        <v>Link</v>
      </c>
      <c r="D253" t="s">
        <v>387</v>
      </c>
      <c r="E253" s="17">
        <v>1.5</v>
      </c>
      <c r="F253" t="s">
        <v>393</v>
      </c>
      <c r="G253">
        <v>0.5</v>
      </c>
      <c r="I253">
        <v>1</v>
      </c>
      <c r="Q253" s="1"/>
      <c r="R253" s="1">
        <v>2.11</v>
      </c>
      <c r="S253">
        <v>1.89</v>
      </c>
    </row>
    <row r="254" spans="1:19" ht="15.75" customHeight="1" x14ac:dyDescent="0.25">
      <c r="A254" s="2">
        <v>5442984</v>
      </c>
      <c r="B254">
        <v>5442984</v>
      </c>
      <c r="C254" t="str">
        <f t="shared" si="7"/>
        <v>Link</v>
      </c>
      <c r="D254" t="s">
        <v>387</v>
      </c>
      <c r="E254" s="17">
        <v>1.5</v>
      </c>
      <c r="F254" t="s">
        <v>394</v>
      </c>
      <c r="G254">
        <v>0.5</v>
      </c>
      <c r="I254">
        <v>1</v>
      </c>
      <c r="Q254" s="1"/>
      <c r="R254" s="1">
        <v>2.11</v>
      </c>
      <c r="S254">
        <v>1.89</v>
      </c>
    </row>
    <row r="255" spans="1:19" ht="15.75" customHeight="1" x14ac:dyDescent="0.25">
      <c r="A255" s="2">
        <v>5442984</v>
      </c>
      <c r="B255">
        <v>5442984</v>
      </c>
      <c r="C255" t="str">
        <f t="shared" si="7"/>
        <v>Link</v>
      </c>
      <c r="D255" t="s">
        <v>387</v>
      </c>
      <c r="E255" s="17">
        <v>1.5</v>
      </c>
      <c r="F255" t="s">
        <v>395</v>
      </c>
      <c r="G255">
        <v>0.5</v>
      </c>
      <c r="I255">
        <v>1</v>
      </c>
      <c r="Q255" s="1"/>
      <c r="R255" s="1">
        <v>2.11</v>
      </c>
      <c r="S255">
        <v>1.89</v>
      </c>
    </row>
    <row r="256" spans="1:19" ht="15.75" customHeight="1" x14ac:dyDescent="0.25">
      <c r="A256" s="2">
        <v>5442985</v>
      </c>
      <c r="B256">
        <v>5442985</v>
      </c>
      <c r="C256" t="str">
        <f>HYPERLINK("https://ois.dk/map/5442985/sfe", "Link")</f>
        <v>Link</v>
      </c>
      <c r="D256" t="s">
        <v>396</v>
      </c>
      <c r="E256" s="17">
        <v>1.75</v>
      </c>
      <c r="F256" t="s">
        <v>397</v>
      </c>
      <c r="G256">
        <v>0.5</v>
      </c>
      <c r="H256">
        <v>0.25</v>
      </c>
      <c r="I256">
        <v>1</v>
      </c>
      <c r="Q256" s="1"/>
      <c r="R256" s="1">
        <v>1.32</v>
      </c>
    </row>
    <row r="257" spans="1:18" ht="15.75" customHeight="1" x14ac:dyDescent="0.25">
      <c r="A257" s="2">
        <v>5442986</v>
      </c>
      <c r="B257">
        <v>5442986</v>
      </c>
      <c r="C257" t="str">
        <f>HYPERLINK("https://ois.dk/map/5442986/sfe", "Link")</f>
        <v>Link</v>
      </c>
      <c r="D257" t="s">
        <v>398</v>
      </c>
      <c r="E257" s="17">
        <v>0.25</v>
      </c>
      <c r="F257" t="s">
        <v>399</v>
      </c>
      <c r="H257">
        <v>0.25</v>
      </c>
      <c r="Q257" s="1"/>
      <c r="R257" s="1"/>
    </row>
    <row r="258" spans="1:18" ht="15.75" customHeight="1" x14ac:dyDescent="0.25">
      <c r="A258" s="2">
        <v>5442986</v>
      </c>
      <c r="B258">
        <v>5442986</v>
      </c>
      <c r="C258" t="str">
        <f>HYPERLINK("https://ois.dk/map/5442986/sfe", "Link")</f>
        <v>Link</v>
      </c>
      <c r="D258" t="s">
        <v>398</v>
      </c>
      <c r="E258" s="17">
        <v>0.5</v>
      </c>
      <c r="F258" t="s">
        <v>400</v>
      </c>
      <c r="G258">
        <v>0.5</v>
      </c>
      <c r="Q258" s="1"/>
      <c r="R258" s="1"/>
    </row>
    <row r="259" spans="1:18" ht="15.75" customHeight="1" x14ac:dyDescent="0.25">
      <c r="A259" s="2">
        <v>5442986</v>
      </c>
      <c r="B259">
        <v>5442986</v>
      </c>
      <c r="C259" t="str">
        <f>HYPERLINK("https://ois.dk/map/5442986/sfe", "Link")</f>
        <v>Link</v>
      </c>
      <c r="D259" t="s">
        <v>398</v>
      </c>
      <c r="E259" s="17">
        <v>0.5</v>
      </c>
      <c r="F259" t="s">
        <v>401</v>
      </c>
      <c r="G259">
        <v>0.5</v>
      </c>
      <c r="Q259" s="1"/>
      <c r="R259" s="1"/>
    </row>
    <row r="260" spans="1:18" ht="15.75" customHeight="1" x14ac:dyDescent="0.25">
      <c r="A260" s="2">
        <v>5442986</v>
      </c>
      <c r="B260">
        <v>5442986</v>
      </c>
      <c r="C260" t="str">
        <f>HYPERLINK("https://ois.dk/map/5442986/sfe", "Link")</f>
        <v>Link</v>
      </c>
      <c r="D260" t="s">
        <v>398</v>
      </c>
      <c r="E260" s="17">
        <v>0.5</v>
      </c>
      <c r="F260" t="s">
        <v>402</v>
      </c>
      <c r="G260">
        <v>0.5</v>
      </c>
      <c r="Q260" s="1"/>
      <c r="R260" s="1"/>
    </row>
    <row r="261" spans="1:18" ht="15.75" customHeight="1" x14ac:dyDescent="0.25">
      <c r="A261" s="2">
        <v>5442986</v>
      </c>
      <c r="B261">
        <v>5442986</v>
      </c>
      <c r="C261" t="str">
        <f>HYPERLINK("https://ois.dk/map/5442986/sfe", "Link")</f>
        <v>Link</v>
      </c>
      <c r="D261" t="s">
        <v>398</v>
      </c>
      <c r="E261" s="17">
        <v>0.5</v>
      </c>
      <c r="F261" t="s">
        <v>403</v>
      </c>
      <c r="G261">
        <v>0.5</v>
      </c>
      <c r="Q261" s="1"/>
      <c r="R261" s="1"/>
    </row>
    <row r="262" spans="1:18" ht="15.75" customHeight="1" x14ac:dyDescent="0.25">
      <c r="A262" s="2">
        <v>5442987</v>
      </c>
      <c r="B262">
        <v>5442987</v>
      </c>
      <c r="C262" t="str">
        <f>HYPERLINK("https://ois.dk/map/5442987/sfe", "Link")</f>
        <v>Link</v>
      </c>
      <c r="D262" t="s">
        <v>187</v>
      </c>
      <c r="E262" s="17">
        <v>0.25</v>
      </c>
      <c r="F262" t="s">
        <v>404</v>
      </c>
      <c r="H262">
        <v>0.25</v>
      </c>
      <c r="Q262" s="1"/>
      <c r="R262" s="1"/>
    </row>
    <row r="263" spans="1:18" ht="15.75" customHeight="1" x14ac:dyDescent="0.25">
      <c r="A263" s="2">
        <v>5442987</v>
      </c>
      <c r="B263">
        <v>5442987</v>
      </c>
      <c r="C263" t="str">
        <f>HYPERLINK("https://ois.dk/map/5442987/sfe", "Link")</f>
        <v>Link</v>
      </c>
      <c r="D263" t="s">
        <v>187</v>
      </c>
      <c r="E263" s="17">
        <v>0.5</v>
      </c>
      <c r="F263" t="s">
        <v>405</v>
      </c>
      <c r="G263">
        <v>0.5</v>
      </c>
      <c r="Q263" s="1"/>
      <c r="R263" s="1"/>
    </row>
    <row r="264" spans="1:18" ht="15.75" customHeight="1" x14ac:dyDescent="0.25">
      <c r="A264" s="2">
        <v>5442987</v>
      </c>
      <c r="B264">
        <v>5442987</v>
      </c>
      <c r="C264" t="str">
        <f>HYPERLINK("https://ois.dk/map/5442987/sfe", "Link")</f>
        <v>Link</v>
      </c>
      <c r="D264" t="s">
        <v>187</v>
      </c>
      <c r="E264" s="17">
        <v>0.5</v>
      </c>
      <c r="F264" t="s">
        <v>406</v>
      </c>
      <c r="G264">
        <v>0.5</v>
      </c>
      <c r="Q264" s="1"/>
      <c r="R264" s="1"/>
    </row>
    <row r="265" spans="1:18" ht="15.75" customHeight="1" x14ac:dyDescent="0.25">
      <c r="A265" s="2">
        <v>5442988</v>
      </c>
      <c r="B265">
        <v>5442988</v>
      </c>
      <c r="C265" t="str">
        <f>HYPERLINK("https://ois.dk/map/5442988/sfe", "Link")</f>
        <v>Link</v>
      </c>
      <c r="D265" t="s">
        <v>407</v>
      </c>
      <c r="E265" s="17">
        <v>0.5</v>
      </c>
      <c r="F265" t="s">
        <v>408</v>
      </c>
      <c r="G265">
        <v>0.5</v>
      </c>
      <c r="Q265" s="1"/>
      <c r="R265" s="1"/>
    </row>
    <row r="266" spans="1:18" ht="15.75" customHeight="1" x14ac:dyDescent="0.25">
      <c r="A266" s="2">
        <v>5442988</v>
      </c>
      <c r="B266">
        <v>5442988</v>
      </c>
      <c r="C266" t="str">
        <f>HYPERLINK("https://ois.dk/map/5442988/sfe", "Link")</f>
        <v>Link</v>
      </c>
      <c r="D266" t="s">
        <v>407</v>
      </c>
      <c r="E266" s="17">
        <v>0.5</v>
      </c>
      <c r="F266" t="s">
        <v>409</v>
      </c>
      <c r="G266">
        <v>0.5</v>
      </c>
      <c r="Q266" s="1"/>
      <c r="R266" s="1"/>
    </row>
    <row r="267" spans="1:18" ht="15.75" customHeight="1" x14ac:dyDescent="0.25">
      <c r="A267" s="2">
        <v>5442989</v>
      </c>
      <c r="B267">
        <v>5442989</v>
      </c>
      <c r="C267" t="str">
        <f>HYPERLINK("https://ois.dk/map/5442989/sfe", "Link")</f>
        <v>Link</v>
      </c>
      <c r="D267" t="s">
        <v>410</v>
      </c>
      <c r="E267" s="17">
        <v>1.25</v>
      </c>
      <c r="F267" t="s">
        <v>411</v>
      </c>
      <c r="H267">
        <v>0.25</v>
      </c>
      <c r="K267">
        <v>1</v>
      </c>
      <c r="Q267" s="1"/>
      <c r="R267" s="1">
        <v>1.41</v>
      </c>
    </row>
    <row r="268" spans="1:18" ht="15.75" customHeight="1" x14ac:dyDescent="0.25">
      <c r="A268" s="2">
        <v>5442989</v>
      </c>
      <c r="B268">
        <v>5442989</v>
      </c>
      <c r="C268" t="str">
        <f>HYPERLINK("https://ois.dk/map/5442989/sfe", "Link")</f>
        <v>Link</v>
      </c>
      <c r="D268" t="s">
        <v>410</v>
      </c>
      <c r="E268" s="17">
        <v>1.5</v>
      </c>
      <c r="F268" t="s">
        <v>411</v>
      </c>
      <c r="G268">
        <v>0.5</v>
      </c>
      <c r="I268">
        <v>1</v>
      </c>
      <c r="Q268" s="1"/>
      <c r="R268" s="1">
        <v>1.41</v>
      </c>
    </row>
    <row r="269" spans="1:18" ht="15.75" customHeight="1" x14ac:dyDescent="0.25">
      <c r="A269" s="2">
        <v>5442989</v>
      </c>
      <c r="B269">
        <v>5442989</v>
      </c>
      <c r="C269" t="str">
        <f>HYPERLINK("https://ois.dk/map/5442989/sfe", "Link")</f>
        <v>Link</v>
      </c>
      <c r="D269" t="s">
        <v>410</v>
      </c>
      <c r="E269" s="17">
        <v>1.5</v>
      </c>
      <c r="F269" t="s">
        <v>411</v>
      </c>
      <c r="G269">
        <v>0.5</v>
      </c>
      <c r="I269">
        <v>1</v>
      </c>
      <c r="Q269" s="1"/>
      <c r="R269" s="1">
        <v>1.79</v>
      </c>
    </row>
    <row r="270" spans="1:18" ht="15.75" customHeight="1" x14ac:dyDescent="0.25">
      <c r="A270" s="2">
        <v>5442990</v>
      </c>
      <c r="B270">
        <v>5442990</v>
      </c>
      <c r="C270" t="str">
        <f>HYPERLINK("https://ois.dk/map/5442990/sfe", "Link")</f>
        <v>Link</v>
      </c>
      <c r="D270" t="s">
        <v>412</v>
      </c>
      <c r="E270" s="17">
        <v>0.25</v>
      </c>
      <c r="F270" t="s">
        <v>413</v>
      </c>
      <c r="H270">
        <v>0.25</v>
      </c>
      <c r="Q270" s="1"/>
      <c r="R270" s="1"/>
    </row>
    <row r="271" spans="1:18" ht="15.75" customHeight="1" x14ac:dyDescent="0.25">
      <c r="A271" s="2">
        <v>5442990</v>
      </c>
      <c r="B271">
        <v>5442990</v>
      </c>
      <c r="C271" t="str">
        <f>HYPERLINK("https://ois.dk/map/5442990/sfe", "Link")</f>
        <v>Link</v>
      </c>
      <c r="D271" t="s">
        <v>412</v>
      </c>
      <c r="E271" s="17">
        <v>0.5</v>
      </c>
      <c r="F271" t="s">
        <v>414</v>
      </c>
      <c r="G271">
        <v>0.5</v>
      </c>
      <c r="Q271" s="1"/>
      <c r="R271" s="1"/>
    </row>
    <row r="272" spans="1:18" ht="15.75" customHeight="1" x14ac:dyDescent="0.25">
      <c r="A272" s="2">
        <v>5442990</v>
      </c>
      <c r="B272">
        <v>5442990</v>
      </c>
      <c r="C272" t="str">
        <f>HYPERLINK("https://ois.dk/map/5442990/sfe", "Link")</f>
        <v>Link</v>
      </c>
      <c r="D272" t="s">
        <v>412</v>
      </c>
      <c r="E272" s="17">
        <v>0.5</v>
      </c>
      <c r="F272" t="s">
        <v>415</v>
      </c>
      <c r="G272">
        <v>0.5</v>
      </c>
      <c r="Q272" s="1"/>
      <c r="R272" s="1"/>
    </row>
    <row r="273" spans="1:18" ht="15.75" customHeight="1" x14ac:dyDescent="0.25">
      <c r="A273" s="2">
        <v>5442990</v>
      </c>
      <c r="B273">
        <v>5442990</v>
      </c>
      <c r="C273" t="str">
        <f>HYPERLINK("https://ois.dk/map/5442990/sfe", "Link")</f>
        <v>Link</v>
      </c>
      <c r="D273" t="s">
        <v>412</v>
      </c>
      <c r="E273" s="17">
        <v>0.5</v>
      </c>
      <c r="F273" t="s">
        <v>416</v>
      </c>
      <c r="G273">
        <v>0.5</v>
      </c>
      <c r="Q273" s="1"/>
      <c r="R273" s="1"/>
    </row>
    <row r="274" spans="1:18" ht="15.75" customHeight="1" x14ac:dyDescent="0.25">
      <c r="A274" s="2">
        <v>5442992</v>
      </c>
      <c r="B274">
        <v>5442992</v>
      </c>
      <c r="C274" t="str">
        <f>HYPERLINK("https://ois.dk/map/5442992/sfe", "Link")</f>
        <v>Link</v>
      </c>
      <c r="D274" t="s">
        <v>417</v>
      </c>
      <c r="E274" s="17">
        <v>0.75</v>
      </c>
      <c r="F274" t="s">
        <v>418</v>
      </c>
      <c r="G274">
        <v>0.5</v>
      </c>
      <c r="H274">
        <v>0.25</v>
      </c>
      <c r="Q274" s="1"/>
      <c r="R274" s="1"/>
    </row>
    <row r="275" spans="1:18" ht="15.75" customHeight="1" x14ac:dyDescent="0.25">
      <c r="A275" s="2">
        <v>5442995</v>
      </c>
      <c r="B275">
        <v>5442995</v>
      </c>
      <c r="C275" t="str">
        <f t="shared" ref="C275:C283" si="8">HYPERLINK("https://ois.dk/map/5442995/sfe", "Link")</f>
        <v>Link</v>
      </c>
      <c r="D275" t="s">
        <v>419</v>
      </c>
      <c r="E275" s="17">
        <v>1.25</v>
      </c>
      <c r="F275" t="s">
        <v>420</v>
      </c>
      <c r="H275">
        <v>0.25</v>
      </c>
      <c r="I275">
        <v>1</v>
      </c>
      <c r="Q275" s="1"/>
      <c r="R275" s="1">
        <v>1.94</v>
      </c>
    </row>
    <row r="276" spans="1:18" ht="15.75" customHeight="1" x14ac:dyDescent="0.25">
      <c r="A276" s="2">
        <v>5442995</v>
      </c>
      <c r="B276">
        <v>5442995</v>
      </c>
      <c r="C276" t="str">
        <f t="shared" si="8"/>
        <v>Link</v>
      </c>
      <c r="D276" t="s">
        <v>419</v>
      </c>
      <c r="E276" s="17">
        <v>0.5</v>
      </c>
      <c r="F276" t="s">
        <v>420</v>
      </c>
      <c r="G276">
        <v>0.5</v>
      </c>
      <c r="Q276" s="1"/>
      <c r="R276" s="1"/>
    </row>
    <row r="277" spans="1:18" ht="15.75" customHeight="1" x14ac:dyDescent="0.25">
      <c r="A277" s="2">
        <v>5442995</v>
      </c>
      <c r="B277">
        <v>5442995</v>
      </c>
      <c r="C277" t="str">
        <f t="shared" si="8"/>
        <v>Link</v>
      </c>
      <c r="D277" t="s">
        <v>419</v>
      </c>
      <c r="E277" s="17">
        <v>0.5</v>
      </c>
      <c r="F277" t="s">
        <v>421</v>
      </c>
      <c r="G277">
        <v>0.5</v>
      </c>
      <c r="Q277" s="1"/>
      <c r="R277" s="1"/>
    </row>
    <row r="278" spans="1:18" ht="15.75" customHeight="1" x14ac:dyDescent="0.25">
      <c r="A278" s="2">
        <v>5442995</v>
      </c>
      <c r="B278">
        <v>5442995</v>
      </c>
      <c r="C278" t="str">
        <f t="shared" si="8"/>
        <v>Link</v>
      </c>
      <c r="D278" t="s">
        <v>419</v>
      </c>
      <c r="E278" s="17">
        <v>0.5</v>
      </c>
      <c r="F278" t="s">
        <v>422</v>
      </c>
      <c r="G278">
        <v>0.5</v>
      </c>
      <c r="Q278" s="1"/>
      <c r="R278" s="1"/>
    </row>
    <row r="279" spans="1:18" ht="15.75" customHeight="1" x14ac:dyDescent="0.25">
      <c r="A279" s="2">
        <v>5442995</v>
      </c>
      <c r="B279">
        <v>5442995</v>
      </c>
      <c r="C279" t="str">
        <f t="shared" si="8"/>
        <v>Link</v>
      </c>
      <c r="D279" t="s">
        <v>419</v>
      </c>
      <c r="E279" s="17">
        <v>0.5</v>
      </c>
      <c r="F279" t="s">
        <v>423</v>
      </c>
      <c r="G279">
        <v>0.5</v>
      </c>
      <c r="Q279" s="1"/>
      <c r="R279" s="1"/>
    </row>
    <row r="280" spans="1:18" ht="15.75" customHeight="1" x14ac:dyDescent="0.25">
      <c r="A280" s="2">
        <v>5442995</v>
      </c>
      <c r="B280">
        <v>5442995</v>
      </c>
      <c r="C280" t="str">
        <f t="shared" si="8"/>
        <v>Link</v>
      </c>
      <c r="D280" t="s">
        <v>419</v>
      </c>
      <c r="E280" s="17">
        <v>0.5</v>
      </c>
      <c r="F280" t="s">
        <v>424</v>
      </c>
      <c r="G280">
        <v>0.5</v>
      </c>
      <c r="Q280" s="1"/>
      <c r="R280" s="1"/>
    </row>
    <row r="281" spans="1:18" ht="15.75" customHeight="1" x14ac:dyDescent="0.25">
      <c r="A281" s="2">
        <v>5442995</v>
      </c>
      <c r="B281">
        <v>5442995</v>
      </c>
      <c r="C281" t="str">
        <f t="shared" si="8"/>
        <v>Link</v>
      </c>
      <c r="D281" t="s">
        <v>419</v>
      </c>
      <c r="E281" s="17">
        <v>0.5</v>
      </c>
      <c r="F281" t="s">
        <v>425</v>
      </c>
      <c r="G281">
        <v>0.5</v>
      </c>
      <c r="Q281" s="1"/>
      <c r="R281" s="1"/>
    </row>
    <row r="282" spans="1:18" ht="15.75" customHeight="1" x14ac:dyDescent="0.25">
      <c r="A282" s="2">
        <v>5442995</v>
      </c>
      <c r="B282">
        <v>5442995</v>
      </c>
      <c r="C282" t="str">
        <f t="shared" si="8"/>
        <v>Link</v>
      </c>
      <c r="D282" t="s">
        <v>419</v>
      </c>
      <c r="E282" s="17">
        <v>0.5</v>
      </c>
      <c r="F282" t="s">
        <v>426</v>
      </c>
      <c r="G282">
        <v>0.5</v>
      </c>
      <c r="Q282" s="1"/>
      <c r="R282" s="1"/>
    </row>
    <row r="283" spans="1:18" ht="15.75" customHeight="1" x14ac:dyDescent="0.25">
      <c r="A283" s="2">
        <v>5442995</v>
      </c>
      <c r="B283">
        <v>5442995</v>
      </c>
      <c r="C283" t="str">
        <f t="shared" si="8"/>
        <v>Link</v>
      </c>
      <c r="D283" t="s">
        <v>419</v>
      </c>
      <c r="E283" s="17">
        <v>0.5</v>
      </c>
      <c r="F283" t="s">
        <v>427</v>
      </c>
      <c r="G283">
        <v>0.5</v>
      </c>
      <c r="Q283" s="1"/>
      <c r="R283" s="1"/>
    </row>
    <row r="284" spans="1:18" ht="15.75" customHeight="1" x14ac:dyDescent="0.25">
      <c r="A284" s="2">
        <v>5442996</v>
      </c>
      <c r="B284">
        <v>5442996</v>
      </c>
      <c r="C284" t="str">
        <f>HYPERLINK("https://ois.dk/map/5442996/sfe", "Link")</f>
        <v>Link</v>
      </c>
      <c r="D284" t="s">
        <v>189</v>
      </c>
      <c r="E284" s="17">
        <v>1.25</v>
      </c>
      <c r="F284" t="s">
        <v>428</v>
      </c>
      <c r="H284">
        <v>0.25</v>
      </c>
      <c r="K284">
        <v>1</v>
      </c>
      <c r="Q284" s="1"/>
      <c r="R284" s="1">
        <v>1.85</v>
      </c>
    </row>
    <row r="285" spans="1:18" ht="15.75" customHeight="1" x14ac:dyDescent="0.25">
      <c r="A285" s="2">
        <v>5442996</v>
      </c>
      <c r="B285">
        <v>5442996</v>
      </c>
      <c r="C285" t="str">
        <f>HYPERLINK("https://ois.dk/map/5442996/sfe", "Link")</f>
        <v>Link</v>
      </c>
      <c r="D285" t="s">
        <v>189</v>
      </c>
      <c r="E285" s="17">
        <v>1.5</v>
      </c>
      <c r="F285" t="s">
        <v>428</v>
      </c>
      <c r="G285">
        <v>0.5</v>
      </c>
      <c r="I285">
        <v>1</v>
      </c>
      <c r="Q285" s="1"/>
      <c r="R285" s="1">
        <v>1.85</v>
      </c>
    </row>
    <row r="286" spans="1:18" ht="15.75" customHeight="1" x14ac:dyDescent="0.25">
      <c r="A286" s="2">
        <v>5442996</v>
      </c>
      <c r="B286">
        <v>5442996</v>
      </c>
      <c r="C286" t="str">
        <f>HYPERLINK("https://ois.dk/map/5442996/sfe", "Link")</f>
        <v>Link</v>
      </c>
      <c r="D286" t="s">
        <v>189</v>
      </c>
      <c r="E286" s="17">
        <v>1.5</v>
      </c>
      <c r="F286" t="s">
        <v>428</v>
      </c>
      <c r="G286">
        <v>0.5</v>
      </c>
      <c r="I286">
        <v>1</v>
      </c>
      <c r="Q286" s="1"/>
      <c r="R286" s="1">
        <v>1.88</v>
      </c>
    </row>
    <row r="287" spans="1:18" ht="15.75" customHeight="1" x14ac:dyDescent="0.25">
      <c r="A287" s="2">
        <v>5442998</v>
      </c>
      <c r="B287">
        <v>5442998</v>
      </c>
      <c r="C287" t="str">
        <f>HYPERLINK("https://ois.dk/map/5442998/sfe", "Link")</f>
        <v>Link</v>
      </c>
      <c r="D287" t="s">
        <v>193</v>
      </c>
      <c r="E287" s="17">
        <v>0.25</v>
      </c>
      <c r="F287" t="s">
        <v>429</v>
      </c>
      <c r="H287">
        <v>0.25</v>
      </c>
      <c r="Q287" s="1"/>
      <c r="R287" s="1"/>
    </row>
    <row r="288" spans="1:18" ht="15.75" customHeight="1" x14ac:dyDescent="0.25">
      <c r="A288" s="2">
        <v>5442998</v>
      </c>
      <c r="B288">
        <v>5442998</v>
      </c>
      <c r="C288" t="str">
        <f>HYPERLINK("https://ois.dk/map/5442998/sfe", "Link")</f>
        <v>Link</v>
      </c>
      <c r="D288" t="s">
        <v>193</v>
      </c>
      <c r="E288" s="17">
        <v>0.5</v>
      </c>
      <c r="F288" t="s">
        <v>430</v>
      </c>
      <c r="G288">
        <v>0.5</v>
      </c>
      <c r="Q288" s="1"/>
      <c r="R288" s="1"/>
    </row>
    <row r="289" spans="1:19" ht="15.75" customHeight="1" x14ac:dyDescent="0.25">
      <c r="A289" s="2">
        <v>5442998</v>
      </c>
      <c r="B289">
        <v>5442998</v>
      </c>
      <c r="C289" t="str">
        <f>HYPERLINK("https://ois.dk/map/5442998/sfe", "Link")</f>
        <v>Link</v>
      </c>
      <c r="D289" t="s">
        <v>193</v>
      </c>
      <c r="E289" s="17">
        <v>0.5</v>
      </c>
      <c r="F289" t="s">
        <v>431</v>
      </c>
      <c r="G289">
        <v>0.5</v>
      </c>
      <c r="Q289" s="1"/>
      <c r="R289" s="1"/>
    </row>
    <row r="290" spans="1:19" ht="15.75" customHeight="1" x14ac:dyDescent="0.25">
      <c r="A290" s="2">
        <v>5443000</v>
      </c>
      <c r="B290">
        <v>5443000</v>
      </c>
      <c r="C290" t="str">
        <f>HYPERLINK("https://ois.dk/map/5443000/sfe", "Link")</f>
        <v>Link</v>
      </c>
      <c r="D290" t="s">
        <v>197</v>
      </c>
      <c r="E290" s="17">
        <v>0.75</v>
      </c>
      <c r="F290" t="s">
        <v>432</v>
      </c>
      <c r="G290">
        <v>0.5</v>
      </c>
      <c r="H290">
        <v>0.25</v>
      </c>
      <c r="Q290" s="1"/>
      <c r="R290" s="1"/>
    </row>
    <row r="291" spans="1:19" ht="15.75" customHeight="1" x14ac:dyDescent="0.25">
      <c r="A291" s="2">
        <v>5443001</v>
      </c>
      <c r="B291">
        <v>5443001</v>
      </c>
      <c r="C291" t="str">
        <f>HYPERLINK("https://ois.dk/map/5443001/sfe", "Link")</f>
        <v>Link</v>
      </c>
      <c r="D291" t="s">
        <v>433</v>
      </c>
      <c r="E291" s="17">
        <v>0.75</v>
      </c>
      <c r="G291">
        <v>0.5</v>
      </c>
      <c r="H291">
        <v>0.25</v>
      </c>
      <c r="Q291" s="1"/>
      <c r="R291" s="1"/>
    </row>
    <row r="292" spans="1:19" ht="15.75" customHeight="1" x14ac:dyDescent="0.25">
      <c r="A292" s="2">
        <v>5443002</v>
      </c>
      <c r="B292">
        <v>5443002</v>
      </c>
      <c r="C292" t="str">
        <f>HYPERLINK("https://ois.dk/map/5443002/sfe", "Link")</f>
        <v>Link</v>
      </c>
      <c r="D292" t="s">
        <v>434</v>
      </c>
      <c r="E292" s="17">
        <v>1.05</v>
      </c>
      <c r="F292" t="s">
        <v>435</v>
      </c>
      <c r="G292">
        <v>0.5</v>
      </c>
      <c r="H292">
        <v>0.25</v>
      </c>
      <c r="J292">
        <v>0.3</v>
      </c>
      <c r="Q292" s="1"/>
      <c r="R292" s="1"/>
      <c r="S292">
        <v>1.48</v>
      </c>
    </row>
    <row r="293" spans="1:19" ht="15.75" customHeight="1" x14ac:dyDescent="0.25">
      <c r="A293" s="2">
        <v>5443003</v>
      </c>
      <c r="B293">
        <v>5443003</v>
      </c>
      <c r="C293" t="str">
        <f>HYPERLINK("https://ois.dk/map/5443003/sfe", "Link")</f>
        <v>Link</v>
      </c>
      <c r="D293" t="s">
        <v>436</v>
      </c>
      <c r="E293" s="17">
        <v>0.25</v>
      </c>
      <c r="F293" t="s">
        <v>437</v>
      </c>
      <c r="H293">
        <v>0.25</v>
      </c>
      <c r="Q293" s="1"/>
      <c r="R293" s="1"/>
    </row>
    <row r="294" spans="1:19" ht="15.75" customHeight="1" x14ac:dyDescent="0.25">
      <c r="A294" s="2">
        <v>5443003</v>
      </c>
      <c r="B294">
        <v>5443003</v>
      </c>
      <c r="C294" t="str">
        <f>HYPERLINK("https://ois.dk/map/5443003/sfe", "Link")</f>
        <v>Link</v>
      </c>
      <c r="D294" t="s">
        <v>436</v>
      </c>
      <c r="E294" s="17">
        <v>0.5</v>
      </c>
      <c r="F294" t="s">
        <v>438</v>
      </c>
      <c r="G294">
        <v>0.5</v>
      </c>
      <c r="Q294" s="1"/>
      <c r="R294" s="1"/>
    </row>
    <row r="295" spans="1:19" ht="15.75" customHeight="1" x14ac:dyDescent="0.25">
      <c r="A295" s="2">
        <v>5443003</v>
      </c>
      <c r="B295">
        <v>5443003</v>
      </c>
      <c r="C295" t="str">
        <f>HYPERLINK("https://ois.dk/map/5443003/sfe", "Link")</f>
        <v>Link</v>
      </c>
      <c r="D295" t="s">
        <v>436</v>
      </c>
      <c r="E295" s="17">
        <v>0.5</v>
      </c>
      <c r="F295" t="s">
        <v>438</v>
      </c>
      <c r="G295">
        <v>0.5</v>
      </c>
      <c r="Q295" s="1"/>
      <c r="R295" s="1"/>
    </row>
    <row r="296" spans="1:19" ht="15.75" customHeight="1" x14ac:dyDescent="0.25">
      <c r="A296" s="2">
        <v>5443003</v>
      </c>
      <c r="B296">
        <v>5443003</v>
      </c>
      <c r="C296" t="str">
        <f>HYPERLINK("https://ois.dk/map/5443003/sfe", "Link")</f>
        <v>Link</v>
      </c>
      <c r="D296" t="s">
        <v>436</v>
      </c>
      <c r="E296" s="17">
        <v>0.5</v>
      </c>
      <c r="F296" t="s">
        <v>439</v>
      </c>
      <c r="G296">
        <v>0.5</v>
      </c>
      <c r="Q296" s="1"/>
      <c r="R296" s="1"/>
    </row>
    <row r="297" spans="1:19" ht="15.75" customHeight="1" x14ac:dyDescent="0.25">
      <c r="A297" s="2">
        <v>5443003</v>
      </c>
      <c r="B297">
        <v>5443003</v>
      </c>
      <c r="C297" t="str">
        <f>HYPERLINK("https://ois.dk/map/5443003/sfe", "Link")</f>
        <v>Link</v>
      </c>
      <c r="D297" t="s">
        <v>436</v>
      </c>
      <c r="E297" s="17">
        <v>0.5</v>
      </c>
      <c r="F297" t="s">
        <v>440</v>
      </c>
      <c r="G297">
        <v>0.5</v>
      </c>
      <c r="Q297" s="1"/>
      <c r="R297" s="1"/>
    </row>
    <row r="298" spans="1:19" ht="15.75" customHeight="1" x14ac:dyDescent="0.25">
      <c r="A298" s="2">
        <v>5443004</v>
      </c>
      <c r="B298">
        <v>5443004</v>
      </c>
      <c r="C298" t="str">
        <f>HYPERLINK("https://ois.dk/map/5443004/sfe", "Link")</f>
        <v>Link</v>
      </c>
      <c r="D298" t="s">
        <v>441</v>
      </c>
      <c r="E298" s="17">
        <v>0.75</v>
      </c>
      <c r="G298">
        <v>0.5</v>
      </c>
      <c r="H298">
        <v>0.25</v>
      </c>
      <c r="Q298" s="1"/>
      <c r="R298" s="1"/>
    </row>
    <row r="299" spans="1:19" ht="15.75" customHeight="1" x14ac:dyDescent="0.25">
      <c r="A299" s="2">
        <v>5443006</v>
      </c>
      <c r="B299">
        <v>5443006</v>
      </c>
      <c r="C299" t="str">
        <f t="shared" ref="C299:C310" si="9">HYPERLINK("https://ois.dk/map/5443006/sfe", "Link")</f>
        <v>Link</v>
      </c>
      <c r="D299" t="s">
        <v>442</v>
      </c>
      <c r="E299" s="17">
        <v>0.55000000000000071</v>
      </c>
      <c r="F299" t="s">
        <v>443</v>
      </c>
      <c r="H299">
        <v>0.25</v>
      </c>
      <c r="J299">
        <v>0.3</v>
      </c>
      <c r="Q299" s="1"/>
      <c r="R299" s="1">
        <v>1.24</v>
      </c>
    </row>
    <row r="300" spans="1:19" ht="15.75" customHeight="1" x14ac:dyDescent="0.25">
      <c r="A300" s="2">
        <v>5443006</v>
      </c>
      <c r="B300">
        <v>5443006</v>
      </c>
      <c r="C300" t="str">
        <f t="shared" si="9"/>
        <v>Link</v>
      </c>
      <c r="D300" t="s">
        <v>442</v>
      </c>
      <c r="E300" s="17">
        <v>1.5</v>
      </c>
      <c r="F300" t="s">
        <v>443</v>
      </c>
      <c r="G300">
        <v>0.5</v>
      </c>
      <c r="I300">
        <v>1</v>
      </c>
      <c r="Q300" s="1"/>
      <c r="R300" s="1">
        <v>1.24</v>
      </c>
    </row>
    <row r="301" spans="1:19" ht="15.75" customHeight="1" x14ac:dyDescent="0.25">
      <c r="A301" s="2">
        <v>5443006</v>
      </c>
      <c r="B301">
        <v>5443006</v>
      </c>
      <c r="C301" t="str">
        <f t="shared" si="9"/>
        <v>Link</v>
      </c>
      <c r="D301" t="s">
        <v>442</v>
      </c>
      <c r="E301" s="17">
        <v>1.5</v>
      </c>
      <c r="F301" t="s">
        <v>444</v>
      </c>
      <c r="G301">
        <v>0.5</v>
      </c>
      <c r="I301">
        <v>1</v>
      </c>
      <c r="Q301" s="1"/>
      <c r="R301" s="1">
        <v>1.24</v>
      </c>
    </row>
    <row r="302" spans="1:19" ht="15.75" customHeight="1" x14ac:dyDescent="0.25">
      <c r="A302" s="2">
        <v>5443006</v>
      </c>
      <c r="B302">
        <v>5443006</v>
      </c>
      <c r="C302" t="str">
        <f t="shared" si="9"/>
        <v>Link</v>
      </c>
      <c r="D302" t="s">
        <v>442</v>
      </c>
      <c r="E302" s="17">
        <v>1.5</v>
      </c>
      <c r="F302" t="s">
        <v>445</v>
      </c>
      <c r="G302">
        <v>0.5</v>
      </c>
      <c r="I302">
        <v>1</v>
      </c>
      <c r="Q302" s="1"/>
      <c r="R302" s="1">
        <v>1.24</v>
      </c>
    </row>
    <row r="303" spans="1:19" ht="15.75" customHeight="1" x14ac:dyDescent="0.25">
      <c r="A303" s="2">
        <v>5443006</v>
      </c>
      <c r="B303">
        <v>5443006</v>
      </c>
      <c r="C303" t="str">
        <f t="shared" si="9"/>
        <v>Link</v>
      </c>
      <c r="D303" t="s">
        <v>442</v>
      </c>
      <c r="E303" s="17">
        <v>1.5</v>
      </c>
      <c r="F303" t="s">
        <v>446</v>
      </c>
      <c r="G303">
        <v>0.5</v>
      </c>
      <c r="I303">
        <v>1</v>
      </c>
      <c r="Q303" s="1"/>
      <c r="R303" s="1">
        <v>1.24</v>
      </c>
    </row>
    <row r="304" spans="1:19" ht="15.75" customHeight="1" x14ac:dyDescent="0.25">
      <c r="A304" s="2">
        <v>5443006</v>
      </c>
      <c r="B304">
        <v>5443006</v>
      </c>
      <c r="C304" t="str">
        <f t="shared" si="9"/>
        <v>Link</v>
      </c>
      <c r="D304" t="s">
        <v>442</v>
      </c>
      <c r="E304" s="17">
        <v>1.5</v>
      </c>
      <c r="F304" t="s">
        <v>447</v>
      </c>
      <c r="G304">
        <v>0.5</v>
      </c>
      <c r="I304">
        <v>1</v>
      </c>
      <c r="Q304" s="1"/>
      <c r="R304" s="1">
        <v>1.24</v>
      </c>
    </row>
    <row r="305" spans="1:18" ht="15.75" customHeight="1" x14ac:dyDescent="0.25">
      <c r="A305" s="2">
        <v>5443006</v>
      </c>
      <c r="B305">
        <v>5443006</v>
      </c>
      <c r="C305" t="str">
        <f t="shared" si="9"/>
        <v>Link</v>
      </c>
      <c r="D305" t="s">
        <v>442</v>
      </c>
      <c r="E305" s="17">
        <v>1.5</v>
      </c>
      <c r="F305" t="s">
        <v>448</v>
      </c>
      <c r="G305">
        <v>0.5</v>
      </c>
      <c r="I305">
        <v>1</v>
      </c>
      <c r="Q305" s="1"/>
      <c r="R305" s="1">
        <v>1.24</v>
      </c>
    </row>
    <row r="306" spans="1:18" ht="15.75" customHeight="1" x14ac:dyDescent="0.25">
      <c r="A306" s="2">
        <v>5443006</v>
      </c>
      <c r="B306">
        <v>5443006</v>
      </c>
      <c r="C306" t="str">
        <f t="shared" si="9"/>
        <v>Link</v>
      </c>
      <c r="D306" t="s">
        <v>442</v>
      </c>
      <c r="E306" s="17">
        <v>1.5</v>
      </c>
      <c r="F306" t="s">
        <v>449</v>
      </c>
      <c r="G306">
        <v>0.5</v>
      </c>
      <c r="I306">
        <v>1</v>
      </c>
      <c r="Q306" s="1"/>
      <c r="R306" s="1">
        <v>1.24</v>
      </c>
    </row>
    <row r="307" spans="1:18" ht="15.75" customHeight="1" x14ac:dyDescent="0.25">
      <c r="A307" s="2">
        <v>5443006</v>
      </c>
      <c r="B307">
        <v>5443006</v>
      </c>
      <c r="C307" t="str">
        <f t="shared" si="9"/>
        <v>Link</v>
      </c>
      <c r="D307" t="s">
        <v>442</v>
      </c>
      <c r="E307" s="17">
        <v>1.5</v>
      </c>
      <c r="F307" t="s">
        <v>450</v>
      </c>
      <c r="G307">
        <v>0.5</v>
      </c>
      <c r="I307">
        <v>1</v>
      </c>
      <c r="Q307" s="1"/>
      <c r="R307" s="1">
        <v>1.24</v>
      </c>
    </row>
    <row r="308" spans="1:18" ht="15.75" customHeight="1" x14ac:dyDescent="0.25">
      <c r="A308" s="2">
        <v>5443006</v>
      </c>
      <c r="B308">
        <v>5443006</v>
      </c>
      <c r="C308" t="str">
        <f t="shared" si="9"/>
        <v>Link</v>
      </c>
      <c r="D308" t="s">
        <v>442</v>
      </c>
      <c r="E308" s="17">
        <v>1.5</v>
      </c>
      <c r="F308" t="s">
        <v>451</v>
      </c>
      <c r="G308">
        <v>0.5</v>
      </c>
      <c r="I308">
        <v>1</v>
      </c>
      <c r="Q308" s="1"/>
      <c r="R308" s="1">
        <v>1.24</v>
      </c>
    </row>
    <row r="309" spans="1:18" ht="15.75" customHeight="1" x14ac:dyDescent="0.25">
      <c r="A309" s="2">
        <v>5443006</v>
      </c>
      <c r="B309">
        <v>5443006</v>
      </c>
      <c r="C309" t="str">
        <f t="shared" si="9"/>
        <v>Link</v>
      </c>
      <c r="D309" t="s">
        <v>442</v>
      </c>
      <c r="E309" s="17">
        <v>0.5</v>
      </c>
      <c r="F309" t="s">
        <v>452</v>
      </c>
      <c r="G309">
        <v>0.5</v>
      </c>
      <c r="Q309" s="1"/>
      <c r="R309" s="1"/>
    </row>
    <row r="310" spans="1:18" ht="15.75" customHeight="1" x14ac:dyDescent="0.25">
      <c r="A310" s="2">
        <v>5443006</v>
      </c>
      <c r="B310">
        <v>5443006</v>
      </c>
      <c r="C310" t="str">
        <f t="shared" si="9"/>
        <v>Link</v>
      </c>
      <c r="D310" t="s">
        <v>442</v>
      </c>
      <c r="E310" s="17">
        <v>0.5</v>
      </c>
      <c r="F310" t="s">
        <v>453</v>
      </c>
      <c r="G310">
        <v>0.5</v>
      </c>
      <c r="Q310" s="1"/>
      <c r="R310" s="1"/>
    </row>
    <row r="311" spans="1:18" ht="15.75" customHeight="1" x14ac:dyDescent="0.25">
      <c r="A311" s="2">
        <v>5443009</v>
      </c>
      <c r="B311">
        <v>5443009</v>
      </c>
      <c r="C311" t="str">
        <f>HYPERLINK("https://ois.dk/map/5443009/sfe", "Link")</f>
        <v>Link</v>
      </c>
      <c r="D311" t="s">
        <v>454</v>
      </c>
      <c r="E311" s="17">
        <v>1.75</v>
      </c>
      <c r="F311" t="s">
        <v>455</v>
      </c>
      <c r="G311">
        <v>0.5</v>
      </c>
      <c r="H311">
        <v>0.25</v>
      </c>
      <c r="I311">
        <v>1</v>
      </c>
      <c r="Q311" s="1"/>
      <c r="R311" s="1">
        <v>0.92</v>
      </c>
    </row>
    <row r="312" spans="1:18" ht="15.75" customHeight="1" x14ac:dyDescent="0.25">
      <c r="A312" s="2">
        <v>5443012</v>
      </c>
      <c r="B312">
        <v>5443012</v>
      </c>
      <c r="C312" t="str">
        <f>HYPERLINK("https://ois.dk/map/5443012/sfe", "Link")</f>
        <v>Link</v>
      </c>
      <c r="D312" t="s">
        <v>456</v>
      </c>
      <c r="E312" s="17">
        <v>1.75</v>
      </c>
      <c r="F312" t="s">
        <v>457</v>
      </c>
      <c r="G312">
        <v>0.5</v>
      </c>
      <c r="H312">
        <v>0.25</v>
      </c>
      <c r="I312">
        <v>1</v>
      </c>
      <c r="Q312" s="1"/>
      <c r="R312" s="1">
        <v>1.26</v>
      </c>
    </row>
    <row r="313" spans="1:18" ht="15.75" customHeight="1" x14ac:dyDescent="0.25">
      <c r="A313" s="2">
        <v>5443013</v>
      </c>
      <c r="B313">
        <v>5443013</v>
      </c>
      <c r="C313" t="str">
        <f>HYPERLINK("https://ois.dk/map/5443013/sfe", "Link")</f>
        <v>Link</v>
      </c>
      <c r="D313" t="s">
        <v>458</v>
      </c>
      <c r="E313" s="17">
        <v>0.25</v>
      </c>
      <c r="F313" t="s">
        <v>459</v>
      </c>
      <c r="H313">
        <v>0.25</v>
      </c>
      <c r="Q313" s="1"/>
      <c r="R313" s="1"/>
    </row>
    <row r="314" spans="1:18" ht="15.75" customHeight="1" x14ac:dyDescent="0.25">
      <c r="A314" s="2">
        <v>5443013</v>
      </c>
      <c r="B314">
        <v>5443013</v>
      </c>
      <c r="C314" t="str">
        <f>HYPERLINK("https://ois.dk/map/5443013/sfe", "Link")</f>
        <v>Link</v>
      </c>
      <c r="D314" t="s">
        <v>458</v>
      </c>
      <c r="E314" s="17">
        <v>0.5</v>
      </c>
      <c r="F314" t="s">
        <v>459</v>
      </c>
      <c r="G314">
        <v>0.5</v>
      </c>
      <c r="Q314" s="1"/>
      <c r="R314" s="1"/>
    </row>
    <row r="315" spans="1:18" ht="15.75" customHeight="1" x14ac:dyDescent="0.25">
      <c r="A315" s="2">
        <v>5443013</v>
      </c>
      <c r="B315">
        <v>5443013</v>
      </c>
      <c r="C315" t="str">
        <f>HYPERLINK("https://ois.dk/map/5443013/sfe", "Link")</f>
        <v>Link</v>
      </c>
      <c r="D315" t="s">
        <v>458</v>
      </c>
      <c r="E315" s="17">
        <v>0.5</v>
      </c>
      <c r="F315" t="s">
        <v>459</v>
      </c>
      <c r="G315">
        <v>0.5</v>
      </c>
      <c r="Q315" s="1"/>
      <c r="R315" s="1"/>
    </row>
    <row r="316" spans="1:18" ht="15.75" customHeight="1" x14ac:dyDescent="0.25">
      <c r="A316" s="2">
        <v>5443013</v>
      </c>
      <c r="B316">
        <v>5443013</v>
      </c>
      <c r="C316" t="str">
        <f>HYPERLINK("https://ois.dk/map/5443013/sfe", "Link")</f>
        <v>Link</v>
      </c>
      <c r="D316" t="s">
        <v>458</v>
      </c>
      <c r="E316" s="17">
        <v>0.5</v>
      </c>
      <c r="F316" t="s">
        <v>460</v>
      </c>
      <c r="G316">
        <v>0.5</v>
      </c>
      <c r="Q316" s="1"/>
      <c r="R316" s="1"/>
    </row>
    <row r="317" spans="1:18" ht="15.75" customHeight="1" x14ac:dyDescent="0.25">
      <c r="A317" s="2">
        <v>5443014</v>
      </c>
      <c r="B317">
        <v>5443014</v>
      </c>
      <c r="C317" t="str">
        <f>HYPERLINK("https://ois.dk/map/5443014/sfe", "Link")</f>
        <v>Link</v>
      </c>
      <c r="D317" t="s">
        <v>461</v>
      </c>
      <c r="E317" s="17">
        <v>1.75</v>
      </c>
      <c r="F317" t="s">
        <v>462</v>
      </c>
      <c r="G317">
        <v>0.5</v>
      </c>
      <c r="H317">
        <v>0.25</v>
      </c>
      <c r="I317">
        <v>1</v>
      </c>
      <c r="Q317" s="1"/>
      <c r="R317" s="1">
        <v>1.19</v>
      </c>
    </row>
    <row r="318" spans="1:18" ht="15.75" customHeight="1" x14ac:dyDescent="0.25">
      <c r="A318" s="2">
        <v>5443019</v>
      </c>
      <c r="B318">
        <v>5443019</v>
      </c>
      <c r="C318" t="str">
        <f>HYPERLINK("https://ois.dk/map/5443019/sfe", "Link")</f>
        <v>Link</v>
      </c>
      <c r="D318" t="s">
        <v>463</v>
      </c>
      <c r="E318" s="17">
        <v>0.25</v>
      </c>
      <c r="F318" t="s">
        <v>464</v>
      </c>
      <c r="H318">
        <v>0.25</v>
      </c>
      <c r="Q318" s="1"/>
      <c r="R318" s="1">
        <v>1.77</v>
      </c>
    </row>
    <row r="319" spans="1:18" ht="15.75" customHeight="1" x14ac:dyDescent="0.25">
      <c r="A319" s="2">
        <v>5443019</v>
      </c>
      <c r="B319">
        <v>5443019</v>
      </c>
      <c r="C319" t="str">
        <f>HYPERLINK("https://ois.dk/map/5443019/sfe", "Link")</f>
        <v>Link</v>
      </c>
      <c r="D319" t="s">
        <v>463</v>
      </c>
      <c r="E319" s="17">
        <v>0.5</v>
      </c>
      <c r="F319" t="s">
        <v>465</v>
      </c>
      <c r="G319">
        <v>0.5</v>
      </c>
      <c r="Q319" s="1"/>
      <c r="R319" s="1"/>
    </row>
    <row r="320" spans="1:18" ht="15.75" customHeight="1" x14ac:dyDescent="0.25">
      <c r="A320" s="2">
        <v>5443019</v>
      </c>
      <c r="B320">
        <v>5443019</v>
      </c>
      <c r="C320" t="str">
        <f>HYPERLINK("https://ois.dk/map/5443019/sfe", "Link")</f>
        <v>Link</v>
      </c>
      <c r="D320" t="s">
        <v>463</v>
      </c>
      <c r="E320" s="17">
        <v>0.5</v>
      </c>
      <c r="F320" t="s">
        <v>466</v>
      </c>
      <c r="G320">
        <v>0.5</v>
      </c>
      <c r="Q320" s="1"/>
      <c r="R320" s="1"/>
    </row>
    <row r="321" spans="1:18" ht="15.75" customHeight="1" x14ac:dyDescent="0.25">
      <c r="A321" s="2">
        <v>5443019</v>
      </c>
      <c r="B321">
        <v>5443019</v>
      </c>
      <c r="C321" t="str">
        <f>HYPERLINK("https://ois.dk/map/5443019/sfe", "Link")</f>
        <v>Link</v>
      </c>
      <c r="D321" t="s">
        <v>463</v>
      </c>
      <c r="E321" s="17">
        <v>1.5</v>
      </c>
      <c r="F321" t="s">
        <v>467</v>
      </c>
      <c r="G321">
        <v>0.5</v>
      </c>
      <c r="I321">
        <v>1</v>
      </c>
      <c r="Q321" s="1"/>
      <c r="R321" s="1">
        <v>1.77</v>
      </c>
    </row>
    <row r="322" spans="1:18" ht="15.75" customHeight="1" x14ac:dyDescent="0.25">
      <c r="A322" s="2">
        <v>5443019</v>
      </c>
      <c r="B322">
        <v>5443019</v>
      </c>
      <c r="C322" t="str">
        <f>HYPERLINK("https://ois.dk/map/5443019/sfe", "Link")</f>
        <v>Link</v>
      </c>
      <c r="D322" t="s">
        <v>463</v>
      </c>
      <c r="E322" s="17">
        <v>1.5</v>
      </c>
      <c r="F322" t="s">
        <v>468</v>
      </c>
      <c r="G322">
        <v>0.5</v>
      </c>
      <c r="I322">
        <v>1</v>
      </c>
      <c r="Q322" s="1"/>
      <c r="R322" s="1">
        <v>1.81</v>
      </c>
    </row>
    <row r="323" spans="1:18" ht="15.75" customHeight="1" x14ac:dyDescent="0.25">
      <c r="A323" s="2">
        <v>5443020</v>
      </c>
      <c r="B323">
        <v>5443020</v>
      </c>
      <c r="C323" t="str">
        <f>HYPERLINK("https://ois.dk/map/5443020/sfe", "Link")</f>
        <v>Link</v>
      </c>
      <c r="D323" t="s">
        <v>469</v>
      </c>
      <c r="E323" s="17">
        <v>1.75</v>
      </c>
      <c r="F323" t="s">
        <v>470</v>
      </c>
      <c r="G323">
        <v>0.5</v>
      </c>
      <c r="H323">
        <v>0.25</v>
      </c>
      <c r="I323">
        <v>1</v>
      </c>
      <c r="Q323" s="1"/>
      <c r="R323" s="1">
        <v>1.98</v>
      </c>
    </row>
    <row r="324" spans="1:18" ht="15.75" customHeight="1" x14ac:dyDescent="0.25">
      <c r="A324" s="2">
        <v>5443021</v>
      </c>
      <c r="B324">
        <v>5443021</v>
      </c>
      <c r="C324" t="str">
        <f t="shared" ref="C324:C330" si="10">HYPERLINK("https://ois.dk/map/5443021/sfe", "Link")</f>
        <v>Link</v>
      </c>
      <c r="D324" t="s">
        <v>471</v>
      </c>
      <c r="E324" s="17">
        <v>0.25</v>
      </c>
      <c r="F324" t="s">
        <v>472</v>
      </c>
      <c r="H324">
        <v>0.25</v>
      </c>
      <c r="Q324" s="1"/>
      <c r="R324" s="1"/>
    </row>
    <row r="325" spans="1:18" ht="15.75" customHeight="1" x14ac:dyDescent="0.25">
      <c r="A325" s="2">
        <v>5443021</v>
      </c>
      <c r="B325">
        <v>5443021</v>
      </c>
      <c r="C325" t="str">
        <f t="shared" si="10"/>
        <v>Link</v>
      </c>
      <c r="D325" t="s">
        <v>471</v>
      </c>
      <c r="E325" s="17">
        <v>0.5</v>
      </c>
      <c r="F325" t="s">
        <v>473</v>
      </c>
      <c r="G325">
        <v>0.5</v>
      </c>
      <c r="Q325" s="1"/>
      <c r="R325" s="1"/>
    </row>
    <row r="326" spans="1:18" ht="15.75" customHeight="1" x14ac:dyDescent="0.25">
      <c r="A326" s="2">
        <v>5443021</v>
      </c>
      <c r="B326">
        <v>5443021</v>
      </c>
      <c r="C326" t="str">
        <f t="shared" si="10"/>
        <v>Link</v>
      </c>
      <c r="D326" t="s">
        <v>471</v>
      </c>
      <c r="E326" s="17">
        <v>0.5</v>
      </c>
      <c r="F326" t="s">
        <v>472</v>
      </c>
      <c r="G326">
        <v>0.5</v>
      </c>
      <c r="Q326" s="1"/>
      <c r="R326" s="1"/>
    </row>
    <row r="327" spans="1:18" ht="15.75" customHeight="1" x14ac:dyDescent="0.25">
      <c r="A327" s="2">
        <v>5443021</v>
      </c>
      <c r="B327">
        <v>5443021</v>
      </c>
      <c r="C327" t="str">
        <f t="shared" si="10"/>
        <v>Link</v>
      </c>
      <c r="D327" t="s">
        <v>471</v>
      </c>
      <c r="E327" s="17">
        <v>0.5</v>
      </c>
      <c r="F327" t="s">
        <v>472</v>
      </c>
      <c r="G327">
        <v>0.5</v>
      </c>
      <c r="Q327" s="1"/>
      <c r="R327" s="1"/>
    </row>
    <row r="328" spans="1:18" ht="15.75" customHeight="1" x14ac:dyDescent="0.25">
      <c r="A328" s="2">
        <v>5443021</v>
      </c>
      <c r="B328">
        <v>5443021</v>
      </c>
      <c r="C328" t="str">
        <f t="shared" si="10"/>
        <v>Link</v>
      </c>
      <c r="D328" t="s">
        <v>471</v>
      </c>
      <c r="E328" s="17">
        <v>0.5</v>
      </c>
      <c r="F328" t="s">
        <v>472</v>
      </c>
      <c r="G328">
        <v>0.5</v>
      </c>
      <c r="Q328" s="1"/>
      <c r="R328" s="1"/>
    </row>
    <row r="329" spans="1:18" ht="15.75" customHeight="1" x14ac:dyDescent="0.25">
      <c r="A329" s="2">
        <v>5443021</v>
      </c>
      <c r="B329">
        <v>5443021</v>
      </c>
      <c r="C329" t="str">
        <f t="shared" si="10"/>
        <v>Link</v>
      </c>
      <c r="D329" t="s">
        <v>471</v>
      </c>
      <c r="E329" s="17">
        <v>0.5</v>
      </c>
      <c r="F329" t="s">
        <v>474</v>
      </c>
      <c r="G329">
        <v>0.5</v>
      </c>
      <c r="Q329" s="1"/>
      <c r="R329" s="1"/>
    </row>
    <row r="330" spans="1:18" ht="15.75" customHeight="1" x14ac:dyDescent="0.25">
      <c r="A330" s="2">
        <v>5443021</v>
      </c>
      <c r="B330">
        <v>5443021</v>
      </c>
      <c r="C330" t="str">
        <f t="shared" si="10"/>
        <v>Link</v>
      </c>
      <c r="D330" t="s">
        <v>471</v>
      </c>
      <c r="E330" s="17">
        <v>0.5</v>
      </c>
      <c r="F330" t="s">
        <v>475</v>
      </c>
      <c r="G330">
        <v>0.5</v>
      </c>
      <c r="Q330" s="1"/>
      <c r="R330" s="1"/>
    </row>
    <row r="331" spans="1:18" ht="15.75" customHeight="1" x14ac:dyDescent="0.25">
      <c r="A331" s="2">
        <v>5443022</v>
      </c>
      <c r="B331">
        <v>5443022</v>
      </c>
      <c r="C331" t="str">
        <f>HYPERLINK("https://ois.dk/map/5443022/sfe", "Link")</f>
        <v>Link</v>
      </c>
      <c r="D331" t="s">
        <v>476</v>
      </c>
      <c r="E331" s="17">
        <v>0.25</v>
      </c>
      <c r="F331" t="s">
        <v>477</v>
      </c>
      <c r="H331">
        <v>0.25</v>
      </c>
      <c r="Q331" s="1"/>
      <c r="R331" s="1"/>
    </row>
    <row r="332" spans="1:18" ht="15.75" customHeight="1" x14ac:dyDescent="0.25">
      <c r="A332" s="2">
        <v>5443022</v>
      </c>
      <c r="B332">
        <v>5443022</v>
      </c>
      <c r="C332" t="str">
        <f>HYPERLINK("https://ois.dk/map/5443022/sfe", "Link")</f>
        <v>Link</v>
      </c>
      <c r="D332" t="s">
        <v>476</v>
      </c>
      <c r="E332" s="17">
        <v>0.5</v>
      </c>
      <c r="F332" t="s">
        <v>478</v>
      </c>
      <c r="G332">
        <v>0.5</v>
      </c>
      <c r="Q332" s="1"/>
      <c r="R332" s="1"/>
    </row>
    <row r="333" spans="1:18" ht="15.75" customHeight="1" x14ac:dyDescent="0.25">
      <c r="A333" s="2">
        <v>5443022</v>
      </c>
      <c r="B333">
        <v>5443022</v>
      </c>
      <c r="C333" t="str">
        <f>HYPERLINK("https://ois.dk/map/5443022/sfe", "Link")</f>
        <v>Link</v>
      </c>
      <c r="D333" t="s">
        <v>476</v>
      </c>
      <c r="E333" s="17">
        <v>0.5</v>
      </c>
      <c r="F333" t="s">
        <v>479</v>
      </c>
      <c r="G333">
        <v>0.5</v>
      </c>
      <c r="Q333" s="1"/>
      <c r="R333" s="1"/>
    </row>
    <row r="334" spans="1:18" ht="15.75" customHeight="1" x14ac:dyDescent="0.25">
      <c r="A334" s="2">
        <v>5443023</v>
      </c>
      <c r="B334">
        <v>5443023</v>
      </c>
      <c r="C334" t="str">
        <f>HYPERLINK("https://ois.dk/map/5443023/sfe", "Link")</f>
        <v>Link</v>
      </c>
      <c r="D334" t="s">
        <v>480</v>
      </c>
      <c r="E334" s="17">
        <v>0.25</v>
      </c>
      <c r="F334" t="s">
        <v>481</v>
      </c>
      <c r="H334">
        <v>0.25</v>
      </c>
      <c r="Q334" s="1"/>
      <c r="R334" s="1"/>
    </row>
    <row r="335" spans="1:18" ht="15.75" customHeight="1" x14ac:dyDescent="0.25">
      <c r="A335" s="2">
        <v>5443023</v>
      </c>
      <c r="B335">
        <v>5443023</v>
      </c>
      <c r="C335" t="str">
        <f>HYPERLINK("https://ois.dk/map/5443023/sfe", "Link")</f>
        <v>Link</v>
      </c>
      <c r="D335" t="s">
        <v>480</v>
      </c>
      <c r="E335" s="17">
        <v>0.5</v>
      </c>
      <c r="F335" t="s">
        <v>482</v>
      </c>
      <c r="G335">
        <v>0.5</v>
      </c>
      <c r="Q335" s="1"/>
      <c r="R335" s="1"/>
    </row>
    <row r="336" spans="1:18" ht="15.75" customHeight="1" x14ac:dyDescent="0.25">
      <c r="A336" s="2">
        <v>5443023</v>
      </c>
      <c r="B336">
        <v>5443023</v>
      </c>
      <c r="C336" t="str">
        <f>HYPERLINK("https://ois.dk/map/5443023/sfe", "Link")</f>
        <v>Link</v>
      </c>
      <c r="D336" t="s">
        <v>480</v>
      </c>
      <c r="E336" s="17">
        <v>0.5</v>
      </c>
      <c r="F336" t="s">
        <v>481</v>
      </c>
      <c r="G336">
        <v>0.5</v>
      </c>
      <c r="Q336" s="1"/>
      <c r="R336" s="1"/>
    </row>
    <row r="337" spans="1:18" ht="15.75" customHeight="1" x14ac:dyDescent="0.25">
      <c r="A337" s="2">
        <v>5443023</v>
      </c>
      <c r="B337">
        <v>5443023</v>
      </c>
      <c r="C337" t="str">
        <f>HYPERLINK("https://ois.dk/map/5443023/sfe", "Link")</f>
        <v>Link</v>
      </c>
      <c r="D337" t="s">
        <v>480</v>
      </c>
      <c r="E337" s="17">
        <v>0.5</v>
      </c>
      <c r="F337" t="s">
        <v>481</v>
      </c>
      <c r="G337">
        <v>0.5</v>
      </c>
      <c r="Q337" s="1"/>
      <c r="R337" s="1"/>
    </row>
    <row r="338" spans="1:18" ht="15.75" customHeight="1" x14ac:dyDescent="0.25">
      <c r="A338" s="2">
        <v>5443024</v>
      </c>
      <c r="B338">
        <v>5443024</v>
      </c>
      <c r="C338" t="str">
        <f>HYPERLINK("https://ois.dk/map/5443024/sfe", "Link")</f>
        <v>Link</v>
      </c>
      <c r="D338" t="s">
        <v>483</v>
      </c>
      <c r="E338" s="17">
        <v>1.25</v>
      </c>
      <c r="F338" t="s">
        <v>484</v>
      </c>
      <c r="H338">
        <v>0.25</v>
      </c>
      <c r="I338">
        <v>1</v>
      </c>
      <c r="Q338" s="1"/>
      <c r="R338" s="1">
        <v>1.73</v>
      </c>
    </row>
    <row r="339" spans="1:18" ht="15.75" customHeight="1" x14ac:dyDescent="0.25">
      <c r="A339" s="2">
        <v>5443024</v>
      </c>
      <c r="B339">
        <v>5443024</v>
      </c>
      <c r="C339" t="str">
        <f>HYPERLINK("https://ois.dk/map/5443024/sfe", "Link")</f>
        <v>Link</v>
      </c>
      <c r="D339" t="s">
        <v>483</v>
      </c>
      <c r="E339" s="17">
        <v>0.5</v>
      </c>
      <c r="F339" t="s">
        <v>485</v>
      </c>
      <c r="G339">
        <v>0.5</v>
      </c>
      <c r="Q339" s="1"/>
      <c r="R339" s="1"/>
    </row>
    <row r="340" spans="1:18" ht="15.75" customHeight="1" x14ac:dyDescent="0.25">
      <c r="A340" s="2">
        <v>5443024</v>
      </c>
      <c r="B340">
        <v>5443024</v>
      </c>
      <c r="C340" t="str">
        <f>HYPERLINK("https://ois.dk/map/5443024/sfe", "Link")</f>
        <v>Link</v>
      </c>
      <c r="D340" t="s">
        <v>483</v>
      </c>
      <c r="E340" s="17">
        <v>0.5</v>
      </c>
      <c r="F340" t="s">
        <v>486</v>
      </c>
      <c r="G340">
        <v>0.5</v>
      </c>
      <c r="Q340" s="1"/>
      <c r="R340" s="1"/>
    </row>
    <row r="341" spans="1:18" ht="15.75" customHeight="1" x14ac:dyDescent="0.25">
      <c r="A341" s="2">
        <v>5443024</v>
      </c>
      <c r="B341">
        <v>5443024</v>
      </c>
      <c r="C341" t="str">
        <f>HYPERLINK("https://ois.dk/map/5443024/sfe", "Link")</f>
        <v>Link</v>
      </c>
      <c r="D341" t="s">
        <v>483</v>
      </c>
      <c r="E341" s="17">
        <v>0.5</v>
      </c>
      <c r="F341" t="s">
        <v>486</v>
      </c>
      <c r="G341">
        <v>0.5</v>
      </c>
      <c r="Q341" s="1"/>
      <c r="R341" s="1"/>
    </row>
    <row r="342" spans="1:18" ht="15.75" customHeight="1" x14ac:dyDescent="0.25">
      <c r="A342" s="2">
        <v>5443024</v>
      </c>
      <c r="B342">
        <v>5443024</v>
      </c>
      <c r="C342" t="str">
        <f>HYPERLINK("https://ois.dk/map/5443024/sfe", "Link")</f>
        <v>Link</v>
      </c>
      <c r="D342" t="s">
        <v>483</v>
      </c>
      <c r="E342" s="17">
        <v>0.5</v>
      </c>
      <c r="F342" t="s">
        <v>486</v>
      </c>
      <c r="G342">
        <v>0.5</v>
      </c>
      <c r="Q342" s="1"/>
      <c r="R342" s="1"/>
    </row>
    <row r="343" spans="1:18" ht="15.75" customHeight="1" x14ac:dyDescent="0.25">
      <c r="A343" s="2">
        <v>5443026</v>
      </c>
      <c r="B343">
        <v>5443026</v>
      </c>
      <c r="C343" t="str">
        <f t="shared" ref="C343:C349" si="11">HYPERLINK("https://ois.dk/map/5443026/sfe", "Link")</f>
        <v>Link</v>
      </c>
      <c r="D343" t="s">
        <v>207</v>
      </c>
      <c r="E343" s="17">
        <v>0.25</v>
      </c>
      <c r="F343" t="s">
        <v>487</v>
      </c>
      <c r="H343">
        <v>0.25</v>
      </c>
      <c r="Q343" s="1"/>
      <c r="R343" s="1"/>
    </row>
    <row r="344" spans="1:18" ht="15.75" customHeight="1" x14ac:dyDescent="0.25">
      <c r="A344" s="2">
        <v>5443026</v>
      </c>
      <c r="B344">
        <v>5443026</v>
      </c>
      <c r="C344" t="str">
        <f t="shared" si="11"/>
        <v>Link</v>
      </c>
      <c r="D344" t="s">
        <v>207</v>
      </c>
      <c r="E344" s="17">
        <v>0.5</v>
      </c>
      <c r="F344" t="s">
        <v>488</v>
      </c>
      <c r="G344">
        <v>0.5</v>
      </c>
      <c r="Q344" s="1"/>
      <c r="R344" s="1"/>
    </row>
    <row r="345" spans="1:18" ht="15.75" customHeight="1" x14ac:dyDescent="0.25">
      <c r="A345" s="2">
        <v>5443026</v>
      </c>
      <c r="B345">
        <v>5443026</v>
      </c>
      <c r="C345" t="str">
        <f t="shared" si="11"/>
        <v>Link</v>
      </c>
      <c r="D345" t="s">
        <v>207</v>
      </c>
      <c r="E345" s="17">
        <v>0.5</v>
      </c>
      <c r="F345" t="s">
        <v>489</v>
      </c>
      <c r="G345">
        <v>0.5</v>
      </c>
      <c r="Q345" s="1"/>
      <c r="R345" s="1"/>
    </row>
    <row r="346" spans="1:18" ht="15.75" customHeight="1" x14ac:dyDescent="0.25">
      <c r="A346" s="2">
        <v>5443026</v>
      </c>
      <c r="B346">
        <v>5443026</v>
      </c>
      <c r="C346" t="str">
        <f t="shared" si="11"/>
        <v>Link</v>
      </c>
      <c r="D346" t="s">
        <v>207</v>
      </c>
      <c r="E346" s="17">
        <v>0.5</v>
      </c>
      <c r="F346" t="s">
        <v>490</v>
      </c>
      <c r="G346">
        <v>0.5</v>
      </c>
      <c r="Q346" s="1"/>
      <c r="R346" s="1"/>
    </row>
    <row r="347" spans="1:18" ht="15.75" customHeight="1" x14ac:dyDescent="0.25">
      <c r="A347" s="2">
        <v>5443026</v>
      </c>
      <c r="B347">
        <v>5443026</v>
      </c>
      <c r="C347" t="str">
        <f t="shared" si="11"/>
        <v>Link</v>
      </c>
      <c r="D347" t="s">
        <v>207</v>
      </c>
      <c r="E347" s="17">
        <v>0.5</v>
      </c>
      <c r="F347" t="s">
        <v>491</v>
      </c>
      <c r="G347">
        <v>0.5</v>
      </c>
      <c r="Q347" s="1"/>
      <c r="R347" s="1"/>
    </row>
    <row r="348" spans="1:18" ht="15.75" customHeight="1" x14ac:dyDescent="0.25">
      <c r="A348" s="2">
        <v>5443026</v>
      </c>
      <c r="B348">
        <v>5443026</v>
      </c>
      <c r="C348" t="str">
        <f t="shared" si="11"/>
        <v>Link</v>
      </c>
      <c r="D348" t="s">
        <v>207</v>
      </c>
      <c r="E348" s="17">
        <v>0.5</v>
      </c>
      <c r="F348" t="s">
        <v>492</v>
      </c>
      <c r="G348">
        <v>0.5</v>
      </c>
      <c r="Q348" s="1"/>
      <c r="R348" s="1"/>
    </row>
    <row r="349" spans="1:18" ht="15.75" customHeight="1" x14ac:dyDescent="0.25">
      <c r="A349" s="2">
        <v>5443026</v>
      </c>
      <c r="B349">
        <v>5443026</v>
      </c>
      <c r="C349" t="str">
        <f t="shared" si="11"/>
        <v>Link</v>
      </c>
      <c r="D349" t="s">
        <v>207</v>
      </c>
      <c r="E349" s="17">
        <v>0.5</v>
      </c>
      <c r="F349" t="s">
        <v>493</v>
      </c>
      <c r="G349">
        <v>0.5</v>
      </c>
      <c r="Q349" s="1"/>
      <c r="R349" s="1"/>
    </row>
    <row r="350" spans="1:18" ht="15.75" customHeight="1" x14ac:dyDescent="0.25">
      <c r="A350" s="2">
        <v>5443028</v>
      </c>
      <c r="B350">
        <v>5443028</v>
      </c>
      <c r="C350" t="str">
        <f>HYPERLINK("https://ois.dk/map/5443028/sfe", "Link")</f>
        <v>Link</v>
      </c>
      <c r="D350" t="s">
        <v>494</v>
      </c>
      <c r="E350" s="17">
        <v>0.25</v>
      </c>
      <c r="F350" t="s">
        <v>495</v>
      </c>
      <c r="H350">
        <v>0.25</v>
      </c>
      <c r="Q350" s="1"/>
      <c r="R350" s="1"/>
    </row>
    <row r="351" spans="1:18" ht="15.75" customHeight="1" x14ac:dyDescent="0.25">
      <c r="A351" s="2">
        <v>5443028</v>
      </c>
      <c r="B351">
        <v>5443028</v>
      </c>
      <c r="C351" t="str">
        <f>HYPERLINK("https://ois.dk/map/5443028/sfe", "Link")</f>
        <v>Link</v>
      </c>
      <c r="D351" t="s">
        <v>494</v>
      </c>
      <c r="E351" s="17">
        <v>0.5</v>
      </c>
      <c r="F351" t="s">
        <v>496</v>
      </c>
      <c r="G351">
        <v>0.5</v>
      </c>
      <c r="Q351" s="1"/>
      <c r="R351" s="1"/>
    </row>
    <row r="352" spans="1:18" ht="15.75" customHeight="1" x14ac:dyDescent="0.25">
      <c r="A352" s="2">
        <v>5443028</v>
      </c>
      <c r="B352">
        <v>5443028</v>
      </c>
      <c r="C352" t="str">
        <f>HYPERLINK("https://ois.dk/map/5443028/sfe", "Link")</f>
        <v>Link</v>
      </c>
      <c r="D352" t="s">
        <v>494</v>
      </c>
      <c r="E352" s="17">
        <v>0.5</v>
      </c>
      <c r="F352" t="s">
        <v>497</v>
      </c>
      <c r="G352">
        <v>0.5</v>
      </c>
      <c r="Q352" s="1"/>
      <c r="R352" s="1"/>
    </row>
    <row r="353" spans="1:18" ht="15.75" customHeight="1" x14ac:dyDescent="0.25">
      <c r="A353" s="2">
        <v>5443030</v>
      </c>
      <c r="B353">
        <v>5443030</v>
      </c>
      <c r="C353" t="str">
        <f t="shared" ref="C353:C359" si="12">HYPERLINK("https://ois.dk/map/5443030/sfe", "Link")</f>
        <v>Link</v>
      </c>
      <c r="D353" t="s">
        <v>498</v>
      </c>
      <c r="E353" s="17">
        <v>0.25</v>
      </c>
      <c r="F353" t="s">
        <v>499</v>
      </c>
      <c r="H353">
        <v>0.25</v>
      </c>
      <c r="Q353" s="1"/>
      <c r="R353" s="1"/>
    </row>
    <row r="354" spans="1:18" ht="15.75" customHeight="1" x14ac:dyDescent="0.25">
      <c r="A354" s="2">
        <v>5443030</v>
      </c>
      <c r="B354">
        <v>5443030</v>
      </c>
      <c r="C354" t="str">
        <f t="shared" si="12"/>
        <v>Link</v>
      </c>
      <c r="D354" t="s">
        <v>498</v>
      </c>
      <c r="E354" s="17">
        <v>0.5</v>
      </c>
      <c r="F354" t="s">
        <v>499</v>
      </c>
      <c r="G354">
        <v>0.5</v>
      </c>
      <c r="Q354" s="1"/>
      <c r="R354" s="1"/>
    </row>
    <row r="355" spans="1:18" ht="15.75" customHeight="1" x14ac:dyDescent="0.25">
      <c r="A355" s="2">
        <v>5443030</v>
      </c>
      <c r="B355">
        <v>5443030</v>
      </c>
      <c r="C355" t="str">
        <f t="shared" si="12"/>
        <v>Link</v>
      </c>
      <c r="D355" t="s">
        <v>498</v>
      </c>
      <c r="E355" s="17">
        <v>0.5</v>
      </c>
      <c r="F355" t="s">
        <v>500</v>
      </c>
      <c r="G355">
        <v>0.5</v>
      </c>
      <c r="Q355" s="1"/>
      <c r="R355" s="1"/>
    </row>
    <row r="356" spans="1:18" ht="15.75" customHeight="1" x14ac:dyDescent="0.25">
      <c r="A356" s="2">
        <v>5443030</v>
      </c>
      <c r="B356">
        <v>5443030</v>
      </c>
      <c r="C356" t="str">
        <f t="shared" si="12"/>
        <v>Link</v>
      </c>
      <c r="D356" t="s">
        <v>498</v>
      </c>
      <c r="E356" s="17">
        <v>0.5</v>
      </c>
      <c r="F356" t="s">
        <v>501</v>
      </c>
      <c r="G356">
        <v>0.5</v>
      </c>
      <c r="Q356" s="1"/>
      <c r="R356" s="1"/>
    </row>
    <row r="357" spans="1:18" ht="15.75" customHeight="1" x14ac:dyDescent="0.25">
      <c r="A357" s="2">
        <v>5443030</v>
      </c>
      <c r="B357">
        <v>5443030</v>
      </c>
      <c r="C357" t="str">
        <f t="shared" si="12"/>
        <v>Link</v>
      </c>
      <c r="D357" t="s">
        <v>498</v>
      </c>
      <c r="E357" s="17">
        <v>0.5</v>
      </c>
      <c r="F357" t="s">
        <v>502</v>
      </c>
      <c r="G357">
        <v>0.5</v>
      </c>
      <c r="Q357" s="1"/>
      <c r="R357" s="1"/>
    </row>
    <row r="358" spans="1:18" ht="15.75" customHeight="1" x14ac:dyDescent="0.25">
      <c r="A358" s="2">
        <v>5443030</v>
      </c>
      <c r="B358">
        <v>5443030</v>
      </c>
      <c r="C358" t="str">
        <f t="shared" si="12"/>
        <v>Link</v>
      </c>
      <c r="D358" t="s">
        <v>498</v>
      </c>
      <c r="E358" s="17">
        <v>0.5</v>
      </c>
      <c r="F358" t="s">
        <v>503</v>
      </c>
      <c r="G358">
        <v>0.5</v>
      </c>
      <c r="Q358" s="1"/>
      <c r="R358" s="1"/>
    </row>
    <row r="359" spans="1:18" ht="15.75" customHeight="1" x14ac:dyDescent="0.25">
      <c r="A359" s="2">
        <v>5443030</v>
      </c>
      <c r="B359">
        <v>5443030</v>
      </c>
      <c r="C359" t="str">
        <f t="shared" si="12"/>
        <v>Link</v>
      </c>
      <c r="D359" t="s">
        <v>498</v>
      </c>
      <c r="E359" s="17">
        <v>0.5</v>
      </c>
      <c r="F359" t="s">
        <v>504</v>
      </c>
      <c r="G359">
        <v>0.5</v>
      </c>
      <c r="Q359" s="1"/>
      <c r="R359" s="1"/>
    </row>
    <row r="360" spans="1:18" ht="15.75" customHeight="1" x14ac:dyDescent="0.25">
      <c r="A360" s="2">
        <v>5443036</v>
      </c>
      <c r="B360">
        <v>5443036</v>
      </c>
      <c r="C360" t="str">
        <f>HYPERLINK("https://ois.dk/map/5443036/sfe", "Link")</f>
        <v>Link</v>
      </c>
      <c r="D360" t="s">
        <v>505</v>
      </c>
      <c r="E360" s="17">
        <v>0.75</v>
      </c>
      <c r="G360">
        <v>0.5</v>
      </c>
      <c r="H360">
        <v>0.25</v>
      </c>
      <c r="Q360" s="1"/>
      <c r="R360" s="1"/>
    </row>
    <row r="361" spans="1:18" ht="15.75" customHeight="1" x14ac:dyDescent="0.25">
      <c r="A361" s="2">
        <v>5443038</v>
      </c>
      <c r="B361">
        <v>5443038</v>
      </c>
      <c r="C361" t="str">
        <f>HYPERLINK("https://ois.dk/map/5443038/sfe", "Link")</f>
        <v>Link</v>
      </c>
      <c r="D361" t="s">
        <v>506</v>
      </c>
      <c r="E361" s="17">
        <v>0.75</v>
      </c>
      <c r="G361">
        <v>0.5</v>
      </c>
      <c r="H361">
        <v>0.25</v>
      </c>
      <c r="Q361" s="1"/>
      <c r="R361" s="1"/>
    </row>
    <row r="362" spans="1:18" ht="15.75" customHeight="1" x14ac:dyDescent="0.25">
      <c r="A362" s="2">
        <v>5443039</v>
      </c>
      <c r="B362">
        <v>5443039</v>
      </c>
      <c r="C362" t="str">
        <f>HYPERLINK("https://ois.dk/map/5443039/sfe", "Link")</f>
        <v>Link</v>
      </c>
      <c r="D362" t="s">
        <v>507</v>
      </c>
      <c r="E362" s="17">
        <v>1.55</v>
      </c>
      <c r="F362" t="s">
        <v>508</v>
      </c>
      <c r="H362">
        <v>0.25</v>
      </c>
      <c r="I362">
        <v>1</v>
      </c>
      <c r="J362">
        <v>0.3</v>
      </c>
      <c r="Q362" s="1"/>
      <c r="R362" s="1">
        <v>2.0699999999999998</v>
      </c>
    </row>
    <row r="363" spans="1:18" ht="15.75" customHeight="1" x14ac:dyDescent="0.25">
      <c r="A363" s="2">
        <v>5443039</v>
      </c>
      <c r="B363">
        <v>5443039</v>
      </c>
      <c r="C363" t="str">
        <f>HYPERLINK("https://ois.dk/map/5443039/sfe", "Link")</f>
        <v>Link</v>
      </c>
      <c r="D363" t="s">
        <v>507</v>
      </c>
      <c r="E363" s="17">
        <v>0.5</v>
      </c>
      <c r="F363" t="s">
        <v>509</v>
      </c>
      <c r="G363">
        <v>0.5</v>
      </c>
      <c r="Q363" s="1"/>
      <c r="R363" s="1"/>
    </row>
    <row r="364" spans="1:18" ht="15.75" customHeight="1" x14ac:dyDescent="0.25">
      <c r="A364" s="2">
        <v>5443039</v>
      </c>
      <c r="B364">
        <v>5443039</v>
      </c>
      <c r="C364" t="str">
        <f>HYPERLINK("https://ois.dk/map/5443039/sfe", "Link")</f>
        <v>Link</v>
      </c>
      <c r="D364" t="s">
        <v>507</v>
      </c>
      <c r="E364" s="17">
        <v>0.5</v>
      </c>
      <c r="F364" t="s">
        <v>510</v>
      </c>
      <c r="G364">
        <v>0.5</v>
      </c>
      <c r="Q364" s="1"/>
      <c r="R364" s="1"/>
    </row>
    <row r="365" spans="1:18" ht="15.75" customHeight="1" x14ac:dyDescent="0.25">
      <c r="A365" s="2">
        <v>5443041</v>
      </c>
      <c r="B365">
        <v>5443041</v>
      </c>
      <c r="C365" t="str">
        <f>HYPERLINK("https://ois.dk/map/5443041/sfe", "Link")</f>
        <v>Link</v>
      </c>
      <c r="D365" t="s">
        <v>511</v>
      </c>
      <c r="E365" s="17">
        <v>0.25</v>
      </c>
      <c r="F365" t="s">
        <v>512</v>
      </c>
      <c r="H365">
        <v>0.25</v>
      </c>
      <c r="Q365" s="1"/>
      <c r="R365" s="1"/>
    </row>
    <row r="366" spans="1:18" ht="15.75" customHeight="1" x14ac:dyDescent="0.25">
      <c r="A366" s="2">
        <v>5443041</v>
      </c>
      <c r="B366">
        <v>5443041</v>
      </c>
      <c r="C366" t="str">
        <f>HYPERLINK("https://ois.dk/map/5443041/sfe", "Link")</f>
        <v>Link</v>
      </c>
      <c r="D366" t="s">
        <v>511</v>
      </c>
      <c r="E366" s="17">
        <v>0.5</v>
      </c>
      <c r="F366" t="s">
        <v>512</v>
      </c>
      <c r="G366">
        <v>0.5</v>
      </c>
      <c r="Q366" s="1"/>
      <c r="R366" s="1"/>
    </row>
    <row r="367" spans="1:18" ht="15.75" customHeight="1" x14ac:dyDescent="0.25">
      <c r="A367" s="2">
        <v>5443041</v>
      </c>
      <c r="B367">
        <v>5443041</v>
      </c>
      <c r="C367" t="str">
        <f>HYPERLINK("https://ois.dk/map/5443041/sfe", "Link")</f>
        <v>Link</v>
      </c>
      <c r="D367" t="s">
        <v>511</v>
      </c>
      <c r="E367" s="17">
        <v>0.5</v>
      </c>
      <c r="F367" t="s">
        <v>513</v>
      </c>
      <c r="G367">
        <v>0.5</v>
      </c>
      <c r="Q367" s="1"/>
      <c r="R367" s="1"/>
    </row>
    <row r="368" spans="1:18" ht="15.75" customHeight="1" x14ac:dyDescent="0.25">
      <c r="A368" s="2">
        <v>5443041</v>
      </c>
      <c r="B368">
        <v>5443041</v>
      </c>
      <c r="C368" t="str">
        <f>HYPERLINK("https://ois.dk/map/5443041/sfe", "Link")</f>
        <v>Link</v>
      </c>
      <c r="D368" t="s">
        <v>511</v>
      </c>
      <c r="E368" s="17">
        <v>0.5</v>
      </c>
      <c r="F368" t="s">
        <v>514</v>
      </c>
      <c r="G368">
        <v>0.5</v>
      </c>
      <c r="Q368" s="1"/>
      <c r="R368" s="1"/>
    </row>
    <row r="369" spans="1:18" ht="15.75" customHeight="1" x14ac:dyDescent="0.25">
      <c r="A369" s="2">
        <v>5443041</v>
      </c>
      <c r="B369">
        <v>5443041</v>
      </c>
      <c r="C369" t="str">
        <f>HYPERLINK("https://ois.dk/map/5443041/sfe", "Link")</f>
        <v>Link</v>
      </c>
      <c r="D369" t="s">
        <v>511</v>
      </c>
      <c r="E369" s="17">
        <v>0.5</v>
      </c>
      <c r="F369" t="s">
        <v>515</v>
      </c>
      <c r="G369">
        <v>0.5</v>
      </c>
      <c r="Q369" s="1"/>
      <c r="R369" s="1"/>
    </row>
    <row r="370" spans="1:18" ht="15.75" customHeight="1" x14ac:dyDescent="0.25">
      <c r="A370" s="2">
        <v>5443042</v>
      </c>
      <c r="B370">
        <v>5443042</v>
      </c>
      <c r="C370" t="str">
        <f>HYPERLINK("https://ois.dk/map/5443042/sfe", "Link")</f>
        <v>Link</v>
      </c>
      <c r="D370" t="s">
        <v>516</v>
      </c>
      <c r="E370" s="17">
        <v>1.25</v>
      </c>
      <c r="F370" t="s">
        <v>517</v>
      </c>
      <c r="H370">
        <v>0.25</v>
      </c>
      <c r="I370">
        <v>1</v>
      </c>
      <c r="Q370" s="1"/>
      <c r="R370" s="1">
        <v>1.99</v>
      </c>
    </row>
    <row r="371" spans="1:18" ht="15.75" customHeight="1" x14ac:dyDescent="0.25">
      <c r="A371" s="2">
        <v>5443042</v>
      </c>
      <c r="B371">
        <v>5443042</v>
      </c>
      <c r="C371" t="str">
        <f>HYPERLINK("https://ois.dk/map/5443042/sfe", "Link")</f>
        <v>Link</v>
      </c>
      <c r="D371" t="s">
        <v>516</v>
      </c>
      <c r="E371" s="17">
        <v>0.5</v>
      </c>
      <c r="F371" t="s">
        <v>518</v>
      </c>
      <c r="G371">
        <v>0.5</v>
      </c>
      <c r="Q371" s="1"/>
      <c r="R371" s="1"/>
    </row>
    <row r="372" spans="1:18" ht="15.75" customHeight="1" x14ac:dyDescent="0.25">
      <c r="A372" s="2">
        <v>5443042</v>
      </c>
      <c r="B372">
        <v>5443042</v>
      </c>
      <c r="C372" t="str">
        <f>HYPERLINK("https://ois.dk/map/5443042/sfe", "Link")</f>
        <v>Link</v>
      </c>
      <c r="D372" t="s">
        <v>516</v>
      </c>
      <c r="E372" s="17">
        <v>0.5</v>
      </c>
      <c r="F372" t="s">
        <v>519</v>
      </c>
      <c r="G372">
        <v>0.5</v>
      </c>
      <c r="Q372" s="1"/>
      <c r="R372" s="1"/>
    </row>
    <row r="373" spans="1:18" ht="15.75" customHeight="1" x14ac:dyDescent="0.25">
      <c r="A373" s="2">
        <v>5443043</v>
      </c>
      <c r="B373">
        <v>5443043</v>
      </c>
      <c r="C373" t="str">
        <f>HYPERLINK("https://ois.dk/map/5443043/sfe", "Link")</f>
        <v>Link</v>
      </c>
      <c r="D373" t="s">
        <v>520</v>
      </c>
      <c r="E373" s="17">
        <v>0.75</v>
      </c>
      <c r="G373">
        <v>0.5</v>
      </c>
      <c r="H373">
        <v>0.25</v>
      </c>
      <c r="Q373" s="1"/>
      <c r="R373" s="1"/>
    </row>
    <row r="374" spans="1:18" ht="15.75" customHeight="1" x14ac:dyDescent="0.25">
      <c r="A374" s="2">
        <v>5443044</v>
      </c>
      <c r="B374">
        <v>5443044</v>
      </c>
      <c r="C374" t="str">
        <f>HYPERLINK("https://ois.dk/map/5443044/sfe", "Link")</f>
        <v>Link</v>
      </c>
      <c r="D374" t="s">
        <v>521</v>
      </c>
      <c r="E374" s="17">
        <v>0.75</v>
      </c>
      <c r="G374">
        <v>0.5</v>
      </c>
      <c r="H374">
        <v>0.25</v>
      </c>
      <c r="Q374" s="1"/>
      <c r="R374" s="1"/>
    </row>
    <row r="375" spans="1:18" ht="15.75" customHeight="1" x14ac:dyDescent="0.25">
      <c r="A375" s="2">
        <v>5443045</v>
      </c>
      <c r="B375">
        <v>5443045</v>
      </c>
      <c r="C375" t="str">
        <f>HYPERLINK("https://ois.dk/map/5443045/sfe", "Link")</f>
        <v>Link</v>
      </c>
      <c r="D375" t="s">
        <v>522</v>
      </c>
      <c r="E375" s="17">
        <v>1.25</v>
      </c>
      <c r="F375" t="s">
        <v>523</v>
      </c>
      <c r="H375">
        <v>0.25</v>
      </c>
      <c r="I375">
        <v>1</v>
      </c>
      <c r="Q375" s="1"/>
      <c r="R375" s="1">
        <v>2.1</v>
      </c>
    </row>
    <row r="376" spans="1:18" ht="15.75" customHeight="1" x14ac:dyDescent="0.25">
      <c r="A376" s="2">
        <v>5443045</v>
      </c>
      <c r="B376">
        <v>5443045</v>
      </c>
      <c r="C376" t="str">
        <f>HYPERLINK("https://ois.dk/map/5443045/sfe", "Link")</f>
        <v>Link</v>
      </c>
      <c r="D376" t="s">
        <v>522</v>
      </c>
      <c r="E376" s="17">
        <v>0.5</v>
      </c>
      <c r="F376" t="s">
        <v>523</v>
      </c>
      <c r="G376">
        <v>0.5</v>
      </c>
      <c r="Q376" s="1"/>
      <c r="R376" s="1"/>
    </row>
    <row r="377" spans="1:18" ht="15.75" customHeight="1" x14ac:dyDescent="0.25">
      <c r="A377" s="2">
        <v>5443045</v>
      </c>
      <c r="B377">
        <v>5443045</v>
      </c>
      <c r="C377" t="str">
        <f>HYPERLINK("https://ois.dk/map/5443045/sfe", "Link")</f>
        <v>Link</v>
      </c>
      <c r="D377" t="s">
        <v>522</v>
      </c>
      <c r="E377" s="17">
        <v>0.5</v>
      </c>
      <c r="F377" t="s">
        <v>524</v>
      </c>
      <c r="G377">
        <v>0.5</v>
      </c>
      <c r="Q377" s="1"/>
      <c r="R377" s="1"/>
    </row>
    <row r="378" spans="1:18" ht="15.75" customHeight="1" x14ac:dyDescent="0.25">
      <c r="A378" s="2">
        <v>5443045</v>
      </c>
      <c r="B378">
        <v>5443045</v>
      </c>
      <c r="C378" t="str">
        <f>HYPERLINK("https://ois.dk/map/5443045/sfe", "Link")</f>
        <v>Link</v>
      </c>
      <c r="D378" t="s">
        <v>522</v>
      </c>
      <c r="E378" s="17">
        <v>0.5</v>
      </c>
      <c r="F378" t="s">
        <v>525</v>
      </c>
      <c r="G378">
        <v>0.5</v>
      </c>
      <c r="Q378" s="1"/>
      <c r="R378" s="1"/>
    </row>
    <row r="379" spans="1:18" ht="15.75" customHeight="1" x14ac:dyDescent="0.25">
      <c r="A379" s="2">
        <v>5443046</v>
      </c>
      <c r="B379">
        <v>5443046</v>
      </c>
      <c r="C379" t="str">
        <f>HYPERLINK("https://ois.dk/map/5443046/sfe", "Link")</f>
        <v>Link</v>
      </c>
      <c r="D379" t="s">
        <v>526</v>
      </c>
      <c r="E379" s="17">
        <v>0.25</v>
      </c>
      <c r="F379" t="s">
        <v>527</v>
      </c>
      <c r="H379">
        <v>0.25</v>
      </c>
      <c r="Q379" s="1"/>
      <c r="R379" s="1"/>
    </row>
    <row r="380" spans="1:18" ht="15.75" customHeight="1" x14ac:dyDescent="0.25">
      <c r="A380" s="2">
        <v>5443046</v>
      </c>
      <c r="B380">
        <v>5443046</v>
      </c>
      <c r="C380" t="str">
        <f>HYPERLINK("https://ois.dk/map/5443046/sfe", "Link")</f>
        <v>Link</v>
      </c>
      <c r="D380" t="s">
        <v>526</v>
      </c>
      <c r="E380" s="17">
        <v>0.5</v>
      </c>
      <c r="F380" t="s">
        <v>528</v>
      </c>
      <c r="G380">
        <v>0.5</v>
      </c>
      <c r="Q380" s="1"/>
      <c r="R380" s="1"/>
    </row>
    <row r="381" spans="1:18" ht="15.75" customHeight="1" x14ac:dyDescent="0.25">
      <c r="A381" s="2">
        <v>5443046</v>
      </c>
      <c r="B381">
        <v>5443046</v>
      </c>
      <c r="C381" t="str">
        <f>HYPERLINK("https://ois.dk/map/5443046/sfe", "Link")</f>
        <v>Link</v>
      </c>
      <c r="D381" t="s">
        <v>526</v>
      </c>
      <c r="E381" s="17">
        <v>0.5</v>
      </c>
      <c r="F381" t="s">
        <v>527</v>
      </c>
      <c r="G381">
        <v>0.5</v>
      </c>
      <c r="Q381" s="1"/>
      <c r="R381" s="1"/>
    </row>
    <row r="382" spans="1:18" ht="15.75" customHeight="1" x14ac:dyDescent="0.25">
      <c r="A382" s="2">
        <v>5443047</v>
      </c>
      <c r="B382">
        <v>5443047</v>
      </c>
      <c r="C382" t="str">
        <f t="shared" ref="C382:C387" si="13">HYPERLINK("https://ois.dk/map/5443047/sfe", "Link")</f>
        <v>Link</v>
      </c>
      <c r="D382" t="s">
        <v>529</v>
      </c>
      <c r="E382" s="17">
        <v>0.25</v>
      </c>
      <c r="F382" t="s">
        <v>530</v>
      </c>
      <c r="H382">
        <v>0.25</v>
      </c>
      <c r="Q382" s="1"/>
      <c r="R382" s="1">
        <v>1.85</v>
      </c>
    </row>
    <row r="383" spans="1:18" ht="15.75" customHeight="1" x14ac:dyDescent="0.25">
      <c r="A383" s="2">
        <v>5443047</v>
      </c>
      <c r="B383">
        <v>5443047</v>
      </c>
      <c r="C383" t="str">
        <f t="shared" si="13"/>
        <v>Link</v>
      </c>
      <c r="D383" t="s">
        <v>529</v>
      </c>
      <c r="E383" s="17">
        <v>0.5</v>
      </c>
      <c r="F383" t="s">
        <v>531</v>
      </c>
      <c r="G383">
        <v>0.5</v>
      </c>
      <c r="Q383" s="1"/>
      <c r="R383" s="1"/>
    </row>
    <row r="384" spans="1:18" ht="15.75" customHeight="1" x14ac:dyDescent="0.25">
      <c r="A384" s="2">
        <v>5443047</v>
      </c>
      <c r="B384">
        <v>5443047</v>
      </c>
      <c r="C384" t="str">
        <f t="shared" si="13"/>
        <v>Link</v>
      </c>
      <c r="D384" t="s">
        <v>529</v>
      </c>
      <c r="E384" s="17">
        <v>0.5</v>
      </c>
      <c r="F384" t="s">
        <v>532</v>
      </c>
      <c r="G384">
        <v>0.5</v>
      </c>
      <c r="Q384" s="1"/>
      <c r="R384" s="1"/>
    </row>
    <row r="385" spans="1:18" ht="15.75" customHeight="1" x14ac:dyDescent="0.25">
      <c r="A385" s="2">
        <v>5443047</v>
      </c>
      <c r="B385">
        <v>5443047</v>
      </c>
      <c r="C385" t="str">
        <f t="shared" si="13"/>
        <v>Link</v>
      </c>
      <c r="D385" t="s">
        <v>529</v>
      </c>
      <c r="E385" s="17">
        <v>1.5</v>
      </c>
      <c r="F385" t="s">
        <v>530</v>
      </c>
      <c r="G385">
        <v>0.5</v>
      </c>
      <c r="I385">
        <v>1</v>
      </c>
      <c r="Q385" s="1"/>
      <c r="R385" s="1">
        <v>1.85</v>
      </c>
    </row>
    <row r="386" spans="1:18" ht="15.75" customHeight="1" x14ac:dyDescent="0.25">
      <c r="A386" s="2">
        <v>5443047</v>
      </c>
      <c r="B386">
        <v>5443047</v>
      </c>
      <c r="C386" t="str">
        <f t="shared" si="13"/>
        <v>Link</v>
      </c>
      <c r="D386" t="s">
        <v>529</v>
      </c>
      <c r="E386" s="17">
        <v>1.5</v>
      </c>
      <c r="F386" t="s">
        <v>530</v>
      </c>
      <c r="G386">
        <v>0.5</v>
      </c>
      <c r="I386">
        <v>1</v>
      </c>
      <c r="Q386" s="1"/>
      <c r="R386" s="1">
        <v>2.0699999999999998</v>
      </c>
    </row>
    <row r="387" spans="1:18" ht="15.75" customHeight="1" x14ac:dyDescent="0.25">
      <c r="A387" s="2">
        <v>5443047</v>
      </c>
      <c r="B387">
        <v>5443047</v>
      </c>
      <c r="C387" t="str">
        <f t="shared" si="13"/>
        <v>Link</v>
      </c>
      <c r="D387" t="s">
        <v>529</v>
      </c>
      <c r="E387" s="17">
        <v>0.5</v>
      </c>
      <c r="F387" t="s">
        <v>533</v>
      </c>
      <c r="G387">
        <v>0.5</v>
      </c>
      <c r="Q387" s="1"/>
      <c r="R387" s="1"/>
    </row>
    <row r="388" spans="1:18" ht="15.75" customHeight="1" x14ac:dyDescent="0.25">
      <c r="A388" s="2">
        <v>5443048</v>
      </c>
      <c r="B388">
        <v>5443048</v>
      </c>
      <c r="C388" t="str">
        <f>HYPERLINK("https://ois.dk/map/5443048/sfe", "Link")</f>
        <v>Link</v>
      </c>
      <c r="D388" t="s">
        <v>534</v>
      </c>
      <c r="E388" s="17">
        <v>0.25</v>
      </c>
      <c r="F388" t="s">
        <v>535</v>
      </c>
      <c r="H388">
        <v>0.25</v>
      </c>
      <c r="Q388" s="1"/>
      <c r="R388" s="1"/>
    </row>
    <row r="389" spans="1:18" ht="15.75" customHeight="1" x14ac:dyDescent="0.25">
      <c r="A389" s="2">
        <v>5443048</v>
      </c>
      <c r="B389">
        <v>5443048</v>
      </c>
      <c r="C389" t="str">
        <f>HYPERLINK("https://ois.dk/map/5443048/sfe", "Link")</f>
        <v>Link</v>
      </c>
      <c r="D389" t="s">
        <v>534</v>
      </c>
      <c r="E389" s="17">
        <v>0.5</v>
      </c>
      <c r="F389" t="s">
        <v>535</v>
      </c>
      <c r="G389">
        <v>0.5</v>
      </c>
      <c r="Q389" s="1"/>
      <c r="R389" s="1"/>
    </row>
    <row r="390" spans="1:18" ht="15.75" customHeight="1" x14ac:dyDescent="0.25">
      <c r="A390" s="2">
        <v>5443048</v>
      </c>
      <c r="B390">
        <v>5443048</v>
      </c>
      <c r="C390" t="str">
        <f>HYPERLINK("https://ois.dk/map/5443048/sfe", "Link")</f>
        <v>Link</v>
      </c>
      <c r="D390" t="s">
        <v>534</v>
      </c>
      <c r="E390" s="17">
        <v>0.5</v>
      </c>
      <c r="F390" t="s">
        <v>536</v>
      </c>
      <c r="G390">
        <v>0.5</v>
      </c>
      <c r="Q390" s="1"/>
      <c r="R390" s="1"/>
    </row>
    <row r="391" spans="1:18" ht="15.75" customHeight="1" x14ac:dyDescent="0.25">
      <c r="A391" s="2">
        <v>5443048</v>
      </c>
      <c r="B391">
        <v>5443048</v>
      </c>
      <c r="C391" t="str">
        <f>HYPERLINK("https://ois.dk/map/5443048/sfe", "Link")</f>
        <v>Link</v>
      </c>
      <c r="D391" t="s">
        <v>534</v>
      </c>
      <c r="E391" s="17">
        <v>0.5</v>
      </c>
      <c r="F391" t="s">
        <v>537</v>
      </c>
      <c r="G391">
        <v>0.5</v>
      </c>
      <c r="Q391" s="1"/>
      <c r="R391" s="1"/>
    </row>
    <row r="392" spans="1:18" ht="15.75" customHeight="1" x14ac:dyDescent="0.25">
      <c r="A392" s="2">
        <v>5443049</v>
      </c>
      <c r="B392">
        <v>5443049</v>
      </c>
      <c r="C392" t="str">
        <f>HYPERLINK("https://ois.dk/map/5443049/sfe", "Link")</f>
        <v>Link</v>
      </c>
      <c r="D392" t="s">
        <v>538</v>
      </c>
      <c r="E392" s="17">
        <v>1.25</v>
      </c>
      <c r="F392" t="s">
        <v>539</v>
      </c>
      <c r="H392">
        <v>0.25</v>
      </c>
      <c r="I392">
        <v>1</v>
      </c>
      <c r="Q392" s="1"/>
      <c r="R392" s="1">
        <v>1.59</v>
      </c>
    </row>
    <row r="393" spans="1:18" ht="15.75" customHeight="1" x14ac:dyDescent="0.25">
      <c r="A393" s="2">
        <v>5443049</v>
      </c>
      <c r="B393">
        <v>5443049</v>
      </c>
      <c r="C393" t="str">
        <f>HYPERLINK("https://ois.dk/map/5443049/sfe", "Link")</f>
        <v>Link</v>
      </c>
      <c r="D393" t="s">
        <v>538</v>
      </c>
      <c r="E393" s="17">
        <v>0.5</v>
      </c>
      <c r="F393" t="s">
        <v>539</v>
      </c>
      <c r="G393">
        <v>0.5</v>
      </c>
      <c r="Q393" s="1"/>
      <c r="R393" s="1"/>
    </row>
    <row r="394" spans="1:18" ht="15.75" customHeight="1" x14ac:dyDescent="0.25">
      <c r="A394" s="2">
        <v>5443049</v>
      </c>
      <c r="B394">
        <v>5443049</v>
      </c>
      <c r="C394" t="str">
        <f>HYPERLINK("https://ois.dk/map/5443049/sfe", "Link")</f>
        <v>Link</v>
      </c>
      <c r="D394" t="s">
        <v>538</v>
      </c>
      <c r="E394" s="17">
        <v>0.5</v>
      </c>
      <c r="F394" t="s">
        <v>540</v>
      </c>
      <c r="G394">
        <v>0.5</v>
      </c>
      <c r="Q394" s="1"/>
      <c r="R394" s="1"/>
    </row>
    <row r="395" spans="1:18" ht="15.75" customHeight="1" x14ac:dyDescent="0.25">
      <c r="A395" s="2">
        <v>5443050</v>
      </c>
      <c r="B395">
        <v>5443050</v>
      </c>
      <c r="C395" t="str">
        <f>HYPERLINK("https://ois.dk/map/5443050/sfe", "Link")</f>
        <v>Link</v>
      </c>
      <c r="D395" t="s">
        <v>541</v>
      </c>
      <c r="E395" s="17">
        <v>0.25</v>
      </c>
      <c r="F395" t="s">
        <v>542</v>
      </c>
      <c r="H395">
        <v>0.25</v>
      </c>
      <c r="Q395" s="1"/>
      <c r="R395" s="1">
        <v>2.17</v>
      </c>
    </row>
    <row r="396" spans="1:18" ht="15.75" customHeight="1" x14ac:dyDescent="0.25">
      <c r="A396" s="2">
        <v>5443050</v>
      </c>
      <c r="B396">
        <v>5443050</v>
      </c>
      <c r="C396" t="str">
        <f>HYPERLINK("https://ois.dk/map/5443050/sfe", "Link")</f>
        <v>Link</v>
      </c>
      <c r="D396" t="s">
        <v>541</v>
      </c>
      <c r="E396" s="17">
        <v>1.5</v>
      </c>
      <c r="F396" t="s">
        <v>542</v>
      </c>
      <c r="G396">
        <v>0.5</v>
      </c>
      <c r="I396">
        <v>1</v>
      </c>
      <c r="Q396" s="1"/>
      <c r="R396" s="1">
        <v>2.17</v>
      </c>
    </row>
    <row r="397" spans="1:18" ht="15.75" customHeight="1" x14ac:dyDescent="0.25">
      <c r="A397" s="2">
        <v>5443050</v>
      </c>
      <c r="B397">
        <v>5443050</v>
      </c>
      <c r="C397" t="str">
        <f>HYPERLINK("https://ois.dk/map/5443050/sfe", "Link")</f>
        <v>Link</v>
      </c>
      <c r="D397" t="s">
        <v>541</v>
      </c>
      <c r="E397" s="17">
        <v>1.5</v>
      </c>
      <c r="F397" t="s">
        <v>543</v>
      </c>
      <c r="G397">
        <v>0.5</v>
      </c>
      <c r="I397">
        <v>1</v>
      </c>
      <c r="Q397" s="1"/>
      <c r="R397" s="1">
        <v>2.17</v>
      </c>
    </row>
    <row r="398" spans="1:18" ht="15.75" customHeight="1" x14ac:dyDescent="0.25">
      <c r="A398" s="2">
        <v>5443051</v>
      </c>
      <c r="B398">
        <v>5443051</v>
      </c>
      <c r="C398" t="str">
        <f>HYPERLINK("https://ois.dk/map/5443051/sfe", "Link")</f>
        <v>Link</v>
      </c>
      <c r="D398" t="s">
        <v>544</v>
      </c>
      <c r="E398" s="17">
        <v>0.75</v>
      </c>
      <c r="F398" t="s">
        <v>545</v>
      </c>
      <c r="G398">
        <v>0.5</v>
      </c>
      <c r="H398">
        <v>0.25</v>
      </c>
      <c r="Q398" s="1"/>
      <c r="R398" s="1"/>
    </row>
    <row r="399" spans="1:18" ht="15.75" customHeight="1" x14ac:dyDescent="0.25">
      <c r="A399" s="2">
        <v>5443052</v>
      </c>
      <c r="B399">
        <v>5443052</v>
      </c>
      <c r="C399" t="str">
        <f>HYPERLINK("https://ois.dk/map/5443052/sfe", "Link")</f>
        <v>Link</v>
      </c>
      <c r="D399" t="s">
        <v>546</v>
      </c>
      <c r="E399" s="17">
        <v>0.75</v>
      </c>
      <c r="F399" t="s">
        <v>547</v>
      </c>
      <c r="G399">
        <v>0.5</v>
      </c>
      <c r="H399">
        <v>0.25</v>
      </c>
      <c r="Q399" s="1"/>
      <c r="R399" s="1"/>
    </row>
    <row r="400" spans="1:18" ht="15.75" customHeight="1" x14ac:dyDescent="0.25">
      <c r="A400" s="2">
        <v>5443053</v>
      </c>
      <c r="B400">
        <v>5443053</v>
      </c>
      <c r="C400" t="str">
        <f>HYPERLINK("https://ois.dk/map/5443053/sfe", "Link")</f>
        <v>Link</v>
      </c>
      <c r="D400" t="s">
        <v>548</v>
      </c>
      <c r="E400" s="17">
        <v>0.75</v>
      </c>
      <c r="G400">
        <v>0.5</v>
      </c>
      <c r="H400">
        <v>0.25</v>
      </c>
      <c r="Q400" s="1"/>
      <c r="R400" s="1"/>
    </row>
    <row r="401" spans="1:19" ht="15.75" customHeight="1" x14ac:dyDescent="0.25">
      <c r="A401" s="2">
        <v>5443054</v>
      </c>
      <c r="B401">
        <v>5443054</v>
      </c>
      <c r="C401" t="str">
        <f>HYPERLINK("https://ois.dk/map/5443054/sfe", "Link")</f>
        <v>Link</v>
      </c>
      <c r="D401" t="s">
        <v>549</v>
      </c>
      <c r="E401" s="17">
        <v>0.75</v>
      </c>
      <c r="G401">
        <v>0.5</v>
      </c>
      <c r="H401">
        <v>0.25</v>
      </c>
      <c r="Q401" s="1"/>
      <c r="R401" s="1"/>
    </row>
    <row r="402" spans="1:19" ht="15.75" customHeight="1" x14ac:dyDescent="0.25">
      <c r="A402" s="2">
        <v>5443055</v>
      </c>
      <c r="B402">
        <v>5443055</v>
      </c>
      <c r="C402" t="str">
        <f>HYPERLINK("https://ois.dk/map/5443055/sfe", "Link")</f>
        <v>Link</v>
      </c>
      <c r="D402" t="s">
        <v>550</v>
      </c>
      <c r="E402" s="17">
        <v>0.75</v>
      </c>
      <c r="G402">
        <v>0.5</v>
      </c>
      <c r="H402">
        <v>0.25</v>
      </c>
      <c r="Q402" s="1"/>
      <c r="R402" s="1"/>
    </row>
    <row r="403" spans="1:19" ht="15.75" customHeight="1" x14ac:dyDescent="0.25">
      <c r="A403" s="2">
        <v>5443056</v>
      </c>
      <c r="B403">
        <v>5443056</v>
      </c>
      <c r="C403" t="str">
        <f>HYPERLINK("https://ois.dk/map/5443056/sfe", "Link")</f>
        <v>Link</v>
      </c>
      <c r="D403" t="s">
        <v>551</v>
      </c>
      <c r="E403" s="17">
        <v>2.0499999999999998</v>
      </c>
      <c r="F403" t="s">
        <v>552</v>
      </c>
      <c r="G403">
        <v>0.5</v>
      </c>
      <c r="H403">
        <v>0.25</v>
      </c>
      <c r="I403">
        <v>1</v>
      </c>
      <c r="J403">
        <v>0.3</v>
      </c>
      <c r="Q403" s="1"/>
      <c r="R403" s="1">
        <v>2.08</v>
      </c>
      <c r="S403">
        <v>2.02</v>
      </c>
    </row>
    <row r="404" spans="1:19" ht="15.75" customHeight="1" x14ac:dyDescent="0.25">
      <c r="A404" s="2">
        <v>5443059</v>
      </c>
      <c r="B404">
        <v>5443059</v>
      </c>
      <c r="C404" t="str">
        <f>HYPERLINK("https://ois.dk/map/5443059/sfe", "Link")</f>
        <v>Link</v>
      </c>
      <c r="D404" t="s">
        <v>553</v>
      </c>
      <c r="E404" s="17">
        <v>1.05</v>
      </c>
      <c r="F404" t="s">
        <v>554</v>
      </c>
      <c r="G404">
        <v>0.5</v>
      </c>
      <c r="H404">
        <v>0.25</v>
      </c>
      <c r="J404">
        <v>0.3</v>
      </c>
      <c r="Q404" s="1"/>
      <c r="R404" s="1"/>
      <c r="S404">
        <v>1.0900000000000001</v>
      </c>
    </row>
    <row r="405" spans="1:19" ht="15.75" customHeight="1" x14ac:dyDescent="0.25">
      <c r="A405" s="2">
        <v>5443060</v>
      </c>
      <c r="B405">
        <v>5443060</v>
      </c>
      <c r="C405" t="str">
        <f>HYPERLINK("https://ois.dk/map/5443060/sfe", "Link")</f>
        <v>Link</v>
      </c>
      <c r="D405" t="s">
        <v>555</v>
      </c>
      <c r="E405" s="17">
        <v>1.25</v>
      </c>
      <c r="F405" t="s">
        <v>556</v>
      </c>
      <c r="H405">
        <v>0.25</v>
      </c>
      <c r="I405">
        <v>1</v>
      </c>
      <c r="Q405" s="1"/>
      <c r="R405" s="1">
        <v>1.27</v>
      </c>
    </row>
    <row r="406" spans="1:19" ht="15.75" customHeight="1" x14ac:dyDescent="0.25">
      <c r="A406" s="2">
        <v>5443060</v>
      </c>
      <c r="B406">
        <v>5443060</v>
      </c>
      <c r="C406" t="str">
        <f>HYPERLINK("https://ois.dk/map/5443060/sfe", "Link")</f>
        <v>Link</v>
      </c>
      <c r="D406" t="s">
        <v>555</v>
      </c>
      <c r="E406" s="17">
        <v>0.5</v>
      </c>
      <c r="F406" t="s">
        <v>557</v>
      </c>
      <c r="G406">
        <v>0.5</v>
      </c>
      <c r="Q406" s="1"/>
      <c r="R406" s="1"/>
    </row>
    <row r="407" spans="1:19" ht="15.75" customHeight="1" x14ac:dyDescent="0.25">
      <c r="A407" s="2">
        <v>5443060</v>
      </c>
      <c r="B407">
        <v>5443060</v>
      </c>
      <c r="C407" t="str">
        <f>HYPERLINK("https://ois.dk/map/5443060/sfe", "Link")</f>
        <v>Link</v>
      </c>
      <c r="D407" t="s">
        <v>555</v>
      </c>
      <c r="E407" s="17">
        <v>0.5</v>
      </c>
      <c r="F407" t="s">
        <v>556</v>
      </c>
      <c r="G407">
        <v>0.5</v>
      </c>
      <c r="Q407" s="1"/>
      <c r="R407" s="1"/>
    </row>
    <row r="408" spans="1:19" ht="15.75" customHeight="1" x14ac:dyDescent="0.25">
      <c r="A408" s="2">
        <v>5443060</v>
      </c>
      <c r="B408">
        <v>5443060</v>
      </c>
      <c r="C408" t="str">
        <f>HYPERLINK("https://ois.dk/map/5443060/sfe", "Link")</f>
        <v>Link</v>
      </c>
      <c r="D408" t="s">
        <v>555</v>
      </c>
      <c r="E408" s="17">
        <v>0.5</v>
      </c>
      <c r="F408" t="s">
        <v>558</v>
      </c>
      <c r="G408">
        <v>0.5</v>
      </c>
      <c r="Q408" s="1"/>
      <c r="R408" s="1"/>
    </row>
    <row r="409" spans="1:19" ht="15.75" customHeight="1" x14ac:dyDescent="0.25">
      <c r="A409" s="2">
        <v>5443067</v>
      </c>
      <c r="B409">
        <v>5443067</v>
      </c>
      <c r="C409" t="str">
        <f>HYPERLINK("https://ois.dk/map/5443067/sfe", "Link")</f>
        <v>Link</v>
      </c>
      <c r="D409" t="s">
        <v>559</v>
      </c>
      <c r="E409" s="17">
        <v>1.75</v>
      </c>
      <c r="G409">
        <v>0.5</v>
      </c>
      <c r="H409">
        <v>0.25</v>
      </c>
      <c r="I409">
        <v>1</v>
      </c>
      <c r="Q409" s="1"/>
      <c r="R409" s="1">
        <v>1.29</v>
      </c>
    </row>
    <row r="410" spans="1:19" ht="15.75" customHeight="1" x14ac:dyDescent="0.25">
      <c r="A410" s="2">
        <v>5443073</v>
      </c>
      <c r="B410">
        <v>5443073</v>
      </c>
      <c r="C410" t="str">
        <f>HYPERLINK("https://ois.dk/map/5443073/sfe", "Link")</f>
        <v>Link</v>
      </c>
      <c r="D410" t="s">
        <v>560</v>
      </c>
      <c r="E410" s="17">
        <v>2.0499999999999998</v>
      </c>
      <c r="F410" t="s">
        <v>561</v>
      </c>
      <c r="G410">
        <v>0.5</v>
      </c>
      <c r="H410">
        <v>0.25</v>
      </c>
      <c r="I410">
        <v>1</v>
      </c>
      <c r="J410">
        <v>0.3</v>
      </c>
      <c r="Q410" s="1"/>
      <c r="R410" s="1">
        <v>1.85</v>
      </c>
      <c r="S410">
        <v>1.86</v>
      </c>
    </row>
    <row r="411" spans="1:19" ht="15.75" customHeight="1" x14ac:dyDescent="0.25">
      <c r="A411" s="2">
        <v>5443074</v>
      </c>
      <c r="B411">
        <v>5443074</v>
      </c>
      <c r="C411" t="str">
        <f>HYPERLINK("https://ois.dk/map/5443074/sfe", "Link")</f>
        <v>Link</v>
      </c>
      <c r="D411" t="s">
        <v>562</v>
      </c>
      <c r="E411" s="17">
        <v>0.75</v>
      </c>
      <c r="F411" t="s">
        <v>563</v>
      </c>
      <c r="G411">
        <v>0.5</v>
      </c>
      <c r="H411">
        <v>0.25</v>
      </c>
      <c r="Q411" s="1"/>
      <c r="R411" s="1"/>
    </row>
    <row r="412" spans="1:19" ht="15.75" customHeight="1" x14ac:dyDescent="0.25">
      <c r="A412" s="2">
        <v>5443076</v>
      </c>
      <c r="B412">
        <v>5443076</v>
      </c>
      <c r="C412" t="str">
        <f>HYPERLINK("https://ois.dk/map/5443076/sfe", "Link")</f>
        <v>Link</v>
      </c>
      <c r="D412" t="s">
        <v>564</v>
      </c>
      <c r="E412" s="17">
        <v>1.55</v>
      </c>
      <c r="F412" t="s">
        <v>565</v>
      </c>
      <c r="H412">
        <v>0.25</v>
      </c>
      <c r="I412">
        <v>1</v>
      </c>
      <c r="J412">
        <v>0.3</v>
      </c>
      <c r="Q412" s="1"/>
      <c r="R412" s="1">
        <v>1.95</v>
      </c>
      <c r="S412">
        <v>1.42</v>
      </c>
    </row>
    <row r="413" spans="1:19" ht="15.75" customHeight="1" x14ac:dyDescent="0.25">
      <c r="A413" s="2">
        <v>5443076</v>
      </c>
      <c r="B413">
        <v>5443076</v>
      </c>
      <c r="C413" t="str">
        <f>HYPERLINK("https://ois.dk/map/5443076/sfe", "Link")</f>
        <v>Link</v>
      </c>
      <c r="D413" t="s">
        <v>564</v>
      </c>
      <c r="E413" s="17">
        <v>0.5</v>
      </c>
      <c r="F413" t="s">
        <v>566</v>
      </c>
      <c r="G413">
        <v>0.5</v>
      </c>
      <c r="Q413" s="1"/>
      <c r="R413" s="1"/>
      <c r="S413">
        <v>1.42</v>
      </c>
    </row>
    <row r="414" spans="1:19" ht="15.75" customHeight="1" x14ac:dyDescent="0.25">
      <c r="A414" s="2">
        <v>5443076</v>
      </c>
      <c r="B414">
        <v>5443076</v>
      </c>
      <c r="C414" t="str">
        <f>HYPERLINK("https://ois.dk/map/5443076/sfe", "Link")</f>
        <v>Link</v>
      </c>
      <c r="D414" t="s">
        <v>564</v>
      </c>
      <c r="E414" s="17">
        <v>0.5</v>
      </c>
      <c r="F414" t="s">
        <v>567</v>
      </c>
      <c r="G414">
        <v>0.5</v>
      </c>
      <c r="Q414" s="1"/>
      <c r="R414" s="1"/>
      <c r="S414">
        <v>1.42</v>
      </c>
    </row>
    <row r="415" spans="1:19" ht="15.75" customHeight="1" x14ac:dyDescent="0.25">
      <c r="A415" s="2">
        <v>5443078</v>
      </c>
      <c r="B415">
        <v>5443078</v>
      </c>
      <c r="C415" t="str">
        <f t="shared" ref="C415:C420" si="14">HYPERLINK("https://ois.dk/map/5443078/sfe", "Link")</f>
        <v>Link</v>
      </c>
      <c r="D415" t="s">
        <v>568</v>
      </c>
      <c r="E415" s="17">
        <v>0.54999999999999982</v>
      </c>
      <c r="F415" t="s">
        <v>569</v>
      </c>
      <c r="H415">
        <v>0.25</v>
      </c>
      <c r="J415">
        <v>0.3</v>
      </c>
      <c r="Q415" s="1"/>
      <c r="R415" s="1">
        <v>1.79</v>
      </c>
      <c r="S415">
        <v>1.68</v>
      </c>
    </row>
    <row r="416" spans="1:19" ht="15.75" customHeight="1" x14ac:dyDescent="0.25">
      <c r="A416" s="2">
        <v>5443078</v>
      </c>
      <c r="B416">
        <v>5443078</v>
      </c>
      <c r="C416" t="str">
        <f t="shared" si="14"/>
        <v>Link</v>
      </c>
      <c r="D416" t="s">
        <v>568</v>
      </c>
      <c r="E416" s="17">
        <v>1.5</v>
      </c>
      <c r="F416" t="s">
        <v>569</v>
      </c>
      <c r="G416">
        <v>0.5</v>
      </c>
      <c r="I416">
        <v>1</v>
      </c>
      <c r="Q416" s="1"/>
      <c r="R416" s="1">
        <v>1.91</v>
      </c>
      <c r="S416">
        <v>1.68</v>
      </c>
    </row>
    <row r="417" spans="1:19" ht="15.75" customHeight="1" x14ac:dyDescent="0.25">
      <c r="A417" s="2">
        <v>5443078</v>
      </c>
      <c r="B417">
        <v>5443078</v>
      </c>
      <c r="C417" t="str">
        <f t="shared" si="14"/>
        <v>Link</v>
      </c>
      <c r="D417" t="s">
        <v>568</v>
      </c>
      <c r="E417" s="17">
        <v>1.5</v>
      </c>
      <c r="F417" t="s">
        <v>569</v>
      </c>
      <c r="G417">
        <v>0.5</v>
      </c>
      <c r="I417">
        <v>1</v>
      </c>
      <c r="Q417" s="1"/>
      <c r="R417" s="1">
        <v>1.83</v>
      </c>
      <c r="S417">
        <v>1.68</v>
      </c>
    </row>
    <row r="418" spans="1:19" ht="15.75" customHeight="1" x14ac:dyDescent="0.25">
      <c r="A418" s="2">
        <v>5443078</v>
      </c>
      <c r="B418">
        <v>5443078</v>
      </c>
      <c r="C418" t="str">
        <f t="shared" si="14"/>
        <v>Link</v>
      </c>
      <c r="D418" t="s">
        <v>568</v>
      </c>
      <c r="E418" s="17">
        <v>1.5</v>
      </c>
      <c r="F418" t="s">
        <v>569</v>
      </c>
      <c r="G418">
        <v>0.5</v>
      </c>
      <c r="I418">
        <v>1</v>
      </c>
      <c r="Q418" s="1"/>
      <c r="R418" s="1">
        <v>1.93</v>
      </c>
      <c r="S418">
        <v>1.68</v>
      </c>
    </row>
    <row r="419" spans="1:19" ht="15.75" customHeight="1" x14ac:dyDescent="0.25">
      <c r="A419" s="2">
        <v>5443078</v>
      </c>
      <c r="B419">
        <v>5443078</v>
      </c>
      <c r="C419" t="str">
        <f t="shared" si="14"/>
        <v>Link</v>
      </c>
      <c r="D419" t="s">
        <v>568</v>
      </c>
      <c r="E419" s="17">
        <v>0.5</v>
      </c>
      <c r="F419" t="s">
        <v>569</v>
      </c>
      <c r="G419">
        <v>0.5</v>
      </c>
      <c r="Q419" s="1"/>
      <c r="R419" s="1"/>
      <c r="S419">
        <v>1.68</v>
      </c>
    </row>
    <row r="420" spans="1:19" ht="15.75" customHeight="1" x14ac:dyDescent="0.25">
      <c r="A420" s="2">
        <v>5443078</v>
      </c>
      <c r="B420">
        <v>5443078</v>
      </c>
      <c r="C420" t="str">
        <f t="shared" si="14"/>
        <v>Link</v>
      </c>
      <c r="D420" t="s">
        <v>568</v>
      </c>
      <c r="E420" s="17">
        <v>1.5</v>
      </c>
      <c r="F420" t="s">
        <v>569</v>
      </c>
      <c r="G420">
        <v>0.5</v>
      </c>
      <c r="I420">
        <v>1</v>
      </c>
      <c r="Q420" s="1"/>
      <c r="R420" s="1">
        <v>1.79</v>
      </c>
      <c r="S420">
        <v>1.68</v>
      </c>
    </row>
    <row r="421" spans="1:19" ht="15.75" customHeight="1" x14ac:dyDescent="0.25">
      <c r="A421" s="2">
        <v>5443080</v>
      </c>
      <c r="B421">
        <v>5443080</v>
      </c>
      <c r="C421" t="str">
        <f t="shared" ref="C421:C434" si="15">HYPERLINK("https://ois.dk/map/5443080/sfe", "Link")</f>
        <v>Link</v>
      </c>
      <c r="D421" t="s">
        <v>570</v>
      </c>
      <c r="E421" s="17">
        <v>0.25</v>
      </c>
      <c r="F421" t="s">
        <v>571</v>
      </c>
      <c r="H421">
        <v>0.25</v>
      </c>
      <c r="Q421" s="1"/>
      <c r="R421" s="1">
        <v>0.79</v>
      </c>
    </row>
    <row r="422" spans="1:19" ht="15.75" customHeight="1" x14ac:dyDescent="0.25">
      <c r="A422" s="2">
        <v>5443080</v>
      </c>
      <c r="B422">
        <v>5443080</v>
      </c>
      <c r="C422" t="str">
        <f t="shared" si="15"/>
        <v>Link</v>
      </c>
      <c r="D422" t="s">
        <v>570</v>
      </c>
      <c r="E422" s="17">
        <v>1.5</v>
      </c>
      <c r="F422" t="s">
        <v>572</v>
      </c>
      <c r="G422">
        <v>0.5</v>
      </c>
      <c r="I422">
        <v>1</v>
      </c>
      <c r="Q422" s="1"/>
      <c r="R422" s="1">
        <v>0.83</v>
      </c>
    </row>
    <row r="423" spans="1:19" ht="15.75" customHeight="1" x14ac:dyDescent="0.25">
      <c r="A423" s="2">
        <v>5443080</v>
      </c>
      <c r="B423">
        <v>5443080</v>
      </c>
      <c r="C423" t="str">
        <f t="shared" si="15"/>
        <v>Link</v>
      </c>
      <c r="D423" t="s">
        <v>570</v>
      </c>
      <c r="E423" s="17">
        <v>1.5</v>
      </c>
      <c r="F423" t="s">
        <v>573</v>
      </c>
      <c r="G423">
        <v>0.5</v>
      </c>
      <c r="I423">
        <v>1</v>
      </c>
      <c r="Q423" s="1"/>
      <c r="R423" s="1">
        <v>0.83</v>
      </c>
    </row>
    <row r="424" spans="1:19" ht="15.75" customHeight="1" x14ac:dyDescent="0.25">
      <c r="A424" s="2">
        <v>5443080</v>
      </c>
      <c r="B424">
        <v>5443080</v>
      </c>
      <c r="C424" t="str">
        <f t="shared" si="15"/>
        <v>Link</v>
      </c>
      <c r="D424" t="s">
        <v>570</v>
      </c>
      <c r="E424" s="17">
        <v>1.5</v>
      </c>
      <c r="F424" t="s">
        <v>574</v>
      </c>
      <c r="G424">
        <v>0.5</v>
      </c>
      <c r="I424">
        <v>1</v>
      </c>
      <c r="Q424" s="1"/>
      <c r="R424" s="1">
        <v>0.79</v>
      </c>
    </row>
    <row r="425" spans="1:19" ht="15.75" customHeight="1" x14ac:dyDescent="0.25">
      <c r="A425" s="2">
        <v>5443080</v>
      </c>
      <c r="B425">
        <v>5443080</v>
      </c>
      <c r="C425" t="str">
        <f t="shared" si="15"/>
        <v>Link</v>
      </c>
      <c r="D425" t="s">
        <v>570</v>
      </c>
      <c r="E425" s="17">
        <v>1.5</v>
      </c>
      <c r="F425" t="s">
        <v>575</v>
      </c>
      <c r="G425">
        <v>0.5</v>
      </c>
      <c r="I425">
        <v>1</v>
      </c>
      <c r="Q425" s="1"/>
      <c r="R425" s="1">
        <v>0.79</v>
      </c>
    </row>
    <row r="426" spans="1:19" ht="15.75" customHeight="1" x14ac:dyDescent="0.25">
      <c r="A426" s="2">
        <v>5443080</v>
      </c>
      <c r="B426">
        <v>5443080</v>
      </c>
      <c r="C426" t="str">
        <f t="shared" si="15"/>
        <v>Link</v>
      </c>
      <c r="D426" t="s">
        <v>570</v>
      </c>
      <c r="E426" s="17">
        <v>1.5</v>
      </c>
      <c r="F426" t="s">
        <v>576</v>
      </c>
      <c r="G426">
        <v>0.5</v>
      </c>
      <c r="I426">
        <v>1</v>
      </c>
      <c r="Q426" s="1"/>
      <c r="R426" s="1">
        <v>0.79</v>
      </c>
    </row>
    <row r="427" spans="1:19" ht="15.75" customHeight="1" x14ac:dyDescent="0.25">
      <c r="A427" s="2">
        <v>5443080</v>
      </c>
      <c r="B427">
        <v>5443080</v>
      </c>
      <c r="C427" t="str">
        <f t="shared" si="15"/>
        <v>Link</v>
      </c>
      <c r="D427" t="s">
        <v>570</v>
      </c>
      <c r="E427" s="17">
        <v>1.5</v>
      </c>
      <c r="F427" t="s">
        <v>571</v>
      </c>
      <c r="G427">
        <v>0.5</v>
      </c>
      <c r="I427">
        <v>1</v>
      </c>
      <c r="Q427" s="1"/>
      <c r="R427" s="1">
        <v>0.83</v>
      </c>
    </row>
    <row r="428" spans="1:19" ht="15.75" customHeight="1" x14ac:dyDescent="0.25">
      <c r="A428" s="2">
        <v>5443080</v>
      </c>
      <c r="B428">
        <v>5443080</v>
      </c>
      <c r="C428" t="str">
        <f t="shared" si="15"/>
        <v>Link</v>
      </c>
      <c r="D428" t="s">
        <v>570</v>
      </c>
      <c r="E428" s="17">
        <v>1.5</v>
      </c>
      <c r="F428" t="s">
        <v>577</v>
      </c>
      <c r="G428">
        <v>0.5</v>
      </c>
      <c r="I428">
        <v>1</v>
      </c>
      <c r="Q428" s="1"/>
      <c r="R428" s="1">
        <v>0.79</v>
      </c>
    </row>
    <row r="429" spans="1:19" ht="15.75" customHeight="1" x14ac:dyDescent="0.25">
      <c r="A429" s="2">
        <v>5443080</v>
      </c>
      <c r="B429">
        <v>5443080</v>
      </c>
      <c r="C429" t="str">
        <f t="shared" si="15"/>
        <v>Link</v>
      </c>
      <c r="D429" t="s">
        <v>570</v>
      </c>
      <c r="E429" s="17">
        <v>1.5</v>
      </c>
      <c r="F429" t="s">
        <v>578</v>
      </c>
      <c r="G429">
        <v>0.5</v>
      </c>
      <c r="I429">
        <v>1</v>
      </c>
      <c r="Q429" s="1"/>
      <c r="R429" s="1">
        <v>0.82</v>
      </c>
    </row>
    <row r="430" spans="1:19" ht="15.75" customHeight="1" x14ac:dyDescent="0.25">
      <c r="A430" s="2">
        <v>5443080</v>
      </c>
      <c r="B430">
        <v>5443080</v>
      </c>
      <c r="C430" t="str">
        <f t="shared" si="15"/>
        <v>Link</v>
      </c>
      <c r="D430" t="s">
        <v>570</v>
      </c>
      <c r="E430" s="17">
        <v>1.5</v>
      </c>
      <c r="F430" t="s">
        <v>579</v>
      </c>
      <c r="G430">
        <v>0.5</v>
      </c>
      <c r="I430">
        <v>1</v>
      </c>
      <c r="Q430" s="1"/>
      <c r="R430" s="1">
        <v>0.82</v>
      </c>
    </row>
    <row r="431" spans="1:19" ht="15.75" customHeight="1" x14ac:dyDescent="0.25">
      <c r="A431" s="2">
        <v>5443080</v>
      </c>
      <c r="B431">
        <v>5443080</v>
      </c>
      <c r="C431" t="str">
        <f t="shared" si="15"/>
        <v>Link</v>
      </c>
      <c r="D431" t="s">
        <v>570</v>
      </c>
      <c r="E431" s="17">
        <v>1.5</v>
      </c>
      <c r="F431" t="s">
        <v>580</v>
      </c>
      <c r="G431">
        <v>0.5</v>
      </c>
      <c r="I431">
        <v>1</v>
      </c>
      <c r="Q431" s="1"/>
      <c r="R431" s="1">
        <v>0.82</v>
      </c>
    </row>
    <row r="432" spans="1:19" ht="15.75" customHeight="1" x14ac:dyDescent="0.25">
      <c r="A432" s="2">
        <v>5443080</v>
      </c>
      <c r="B432">
        <v>5443080</v>
      </c>
      <c r="C432" t="str">
        <f t="shared" si="15"/>
        <v>Link</v>
      </c>
      <c r="D432" t="s">
        <v>570</v>
      </c>
      <c r="E432" s="17">
        <v>1.5</v>
      </c>
      <c r="F432" t="s">
        <v>581</v>
      </c>
      <c r="G432">
        <v>0.5</v>
      </c>
      <c r="I432">
        <v>1</v>
      </c>
      <c r="Q432" s="1"/>
      <c r="R432" s="1">
        <v>0.83</v>
      </c>
    </row>
    <row r="433" spans="1:18" ht="15.75" customHeight="1" x14ac:dyDescent="0.25">
      <c r="A433" s="2">
        <v>5443080</v>
      </c>
      <c r="B433">
        <v>5443080</v>
      </c>
      <c r="C433" t="str">
        <f t="shared" si="15"/>
        <v>Link</v>
      </c>
      <c r="D433" t="s">
        <v>570</v>
      </c>
      <c r="E433" s="17">
        <v>1.5</v>
      </c>
      <c r="F433" t="s">
        <v>582</v>
      </c>
      <c r="G433">
        <v>0.5</v>
      </c>
      <c r="I433">
        <v>1</v>
      </c>
      <c r="Q433" s="1"/>
      <c r="R433" s="1">
        <v>0.83</v>
      </c>
    </row>
    <row r="434" spans="1:18" ht="15.75" customHeight="1" x14ac:dyDescent="0.25">
      <c r="A434" s="2">
        <v>5443080</v>
      </c>
      <c r="B434">
        <v>5443080</v>
      </c>
      <c r="C434" t="str">
        <f t="shared" si="15"/>
        <v>Link</v>
      </c>
      <c r="D434" t="s">
        <v>570</v>
      </c>
      <c r="E434" s="17">
        <v>1.5</v>
      </c>
      <c r="F434" t="s">
        <v>583</v>
      </c>
      <c r="G434">
        <v>0.5</v>
      </c>
      <c r="I434">
        <v>1</v>
      </c>
      <c r="Q434" s="1"/>
      <c r="R434" s="1">
        <v>0.83</v>
      </c>
    </row>
    <row r="435" spans="1:18" ht="15.75" customHeight="1" x14ac:dyDescent="0.25">
      <c r="A435" s="2">
        <v>5443082</v>
      </c>
      <c r="B435">
        <v>5443082</v>
      </c>
      <c r="C435" t="str">
        <f>HYPERLINK("https://ois.dk/map/5443082/sfe", "Link")</f>
        <v>Link</v>
      </c>
      <c r="D435" t="s">
        <v>584</v>
      </c>
      <c r="E435" s="17">
        <v>1.75</v>
      </c>
      <c r="F435" t="s">
        <v>585</v>
      </c>
      <c r="G435">
        <v>0.5</v>
      </c>
      <c r="H435">
        <v>0.25</v>
      </c>
      <c r="I435">
        <v>1</v>
      </c>
      <c r="Q435" s="1"/>
      <c r="R435" s="1">
        <v>1.79</v>
      </c>
    </row>
    <row r="436" spans="1:18" ht="15.75" customHeight="1" x14ac:dyDescent="0.25">
      <c r="A436" s="2">
        <v>5443084</v>
      </c>
      <c r="B436">
        <v>5443084</v>
      </c>
      <c r="C436" t="str">
        <f>HYPERLINK("https://ois.dk/map/5443084/sfe", "Link")</f>
        <v>Link</v>
      </c>
      <c r="D436" t="s">
        <v>586</v>
      </c>
      <c r="E436" s="17">
        <v>1.75</v>
      </c>
      <c r="F436" t="s">
        <v>587</v>
      </c>
      <c r="G436">
        <v>0.5</v>
      </c>
      <c r="H436">
        <v>0.25</v>
      </c>
      <c r="I436">
        <v>1</v>
      </c>
      <c r="Q436" s="1"/>
      <c r="R436" s="1">
        <v>1.72</v>
      </c>
    </row>
    <row r="437" spans="1:18" ht="15.75" customHeight="1" x14ac:dyDescent="0.25">
      <c r="A437" s="2">
        <v>5443087</v>
      </c>
      <c r="B437">
        <v>5443087</v>
      </c>
      <c r="C437" t="str">
        <f>HYPERLINK("https://ois.dk/map/5443087/sfe", "Link")</f>
        <v>Link</v>
      </c>
      <c r="D437" t="s">
        <v>588</v>
      </c>
      <c r="E437" s="17">
        <v>0.75</v>
      </c>
      <c r="F437" t="s">
        <v>589</v>
      </c>
      <c r="G437">
        <v>0.5</v>
      </c>
      <c r="H437">
        <v>0.25</v>
      </c>
      <c r="Q437" s="1"/>
      <c r="R437" s="1"/>
    </row>
    <row r="438" spans="1:18" ht="15.75" customHeight="1" x14ac:dyDescent="0.25">
      <c r="A438" s="2">
        <v>5443088</v>
      </c>
      <c r="B438">
        <v>5443088</v>
      </c>
      <c r="C438" t="str">
        <f>HYPERLINK("https://ois.dk/map/5443088/sfe", "Link")</f>
        <v>Link</v>
      </c>
      <c r="D438" t="s">
        <v>590</v>
      </c>
      <c r="E438" s="17">
        <v>0.25</v>
      </c>
      <c r="F438" t="s">
        <v>591</v>
      </c>
      <c r="H438">
        <v>0.25</v>
      </c>
      <c r="Q438" s="1"/>
      <c r="R438" s="1"/>
    </row>
    <row r="439" spans="1:18" ht="15.75" customHeight="1" x14ac:dyDescent="0.25">
      <c r="A439" s="2">
        <v>5443088</v>
      </c>
      <c r="B439">
        <v>5443088</v>
      </c>
      <c r="C439" t="str">
        <f>HYPERLINK("https://ois.dk/map/5443088/sfe", "Link")</f>
        <v>Link</v>
      </c>
      <c r="D439" t="s">
        <v>590</v>
      </c>
      <c r="E439" s="17">
        <v>0.5</v>
      </c>
      <c r="F439" t="s">
        <v>592</v>
      </c>
      <c r="G439">
        <v>0.5</v>
      </c>
      <c r="Q439" s="1"/>
      <c r="R439" s="1"/>
    </row>
    <row r="440" spans="1:18" ht="15.75" customHeight="1" x14ac:dyDescent="0.25">
      <c r="A440" s="2">
        <v>5443088</v>
      </c>
      <c r="B440">
        <v>5443088</v>
      </c>
      <c r="C440" t="str">
        <f>HYPERLINK("https://ois.dk/map/5443088/sfe", "Link")</f>
        <v>Link</v>
      </c>
      <c r="D440" t="s">
        <v>590</v>
      </c>
      <c r="E440" s="17">
        <v>0.5</v>
      </c>
      <c r="F440" t="s">
        <v>593</v>
      </c>
      <c r="G440">
        <v>0.5</v>
      </c>
      <c r="Q440" s="1"/>
      <c r="R440" s="1"/>
    </row>
    <row r="441" spans="1:18" ht="15.75" customHeight="1" x14ac:dyDescent="0.25">
      <c r="A441" s="2">
        <v>5443090</v>
      </c>
      <c r="B441">
        <v>5443090</v>
      </c>
      <c r="C441" t="str">
        <f>HYPERLINK("https://ois.dk/map/5443090/sfe", "Link")</f>
        <v>Link</v>
      </c>
      <c r="D441" t="s">
        <v>594</v>
      </c>
      <c r="E441" s="17">
        <v>1.75</v>
      </c>
      <c r="F441" t="s">
        <v>595</v>
      </c>
      <c r="G441">
        <v>0.5</v>
      </c>
      <c r="H441">
        <v>0.25</v>
      </c>
      <c r="I441">
        <v>1</v>
      </c>
      <c r="Q441" s="1"/>
      <c r="R441" s="1">
        <v>0.92</v>
      </c>
    </row>
    <row r="442" spans="1:18" ht="15.75" customHeight="1" x14ac:dyDescent="0.25">
      <c r="A442" s="2">
        <v>5443091</v>
      </c>
      <c r="B442">
        <v>5443091</v>
      </c>
      <c r="C442" t="str">
        <f>HYPERLINK("https://ois.dk/map/5443091/sfe", "Link")</f>
        <v>Link</v>
      </c>
      <c r="D442" t="s">
        <v>596</v>
      </c>
      <c r="E442" s="17">
        <v>1.75</v>
      </c>
      <c r="F442" t="s">
        <v>597</v>
      </c>
      <c r="G442">
        <v>0.5</v>
      </c>
      <c r="H442">
        <v>0.25</v>
      </c>
      <c r="I442">
        <v>1</v>
      </c>
      <c r="Q442" s="1"/>
      <c r="R442" s="1">
        <v>2.13</v>
      </c>
    </row>
    <row r="443" spans="1:18" ht="15.75" customHeight="1" x14ac:dyDescent="0.25">
      <c r="A443" s="2">
        <v>5443092</v>
      </c>
      <c r="B443">
        <v>5443092</v>
      </c>
      <c r="C443" t="str">
        <f>HYPERLINK("https://ois.dk/map/5443092/sfe", "Link")</f>
        <v>Link</v>
      </c>
      <c r="D443" t="s">
        <v>598</v>
      </c>
      <c r="E443" s="17">
        <v>1.75</v>
      </c>
      <c r="F443" t="s">
        <v>599</v>
      </c>
      <c r="G443">
        <v>0.5</v>
      </c>
      <c r="H443">
        <v>0.25</v>
      </c>
      <c r="I443">
        <v>1</v>
      </c>
      <c r="Q443" s="1"/>
      <c r="R443" s="1">
        <v>1.97</v>
      </c>
    </row>
    <row r="444" spans="1:18" ht="15.75" customHeight="1" x14ac:dyDescent="0.25">
      <c r="A444" s="2">
        <v>5443093</v>
      </c>
      <c r="B444">
        <v>5443093</v>
      </c>
      <c r="C444" t="str">
        <f>HYPERLINK("https://ois.dk/map/5443093/sfe", "Link")</f>
        <v>Link</v>
      </c>
      <c r="D444" t="s">
        <v>600</v>
      </c>
      <c r="E444" s="17">
        <v>0.75</v>
      </c>
      <c r="F444" t="s">
        <v>597</v>
      </c>
      <c r="G444">
        <v>0.5</v>
      </c>
      <c r="H444">
        <v>0.25</v>
      </c>
      <c r="Q444" s="1"/>
      <c r="R444" s="1"/>
    </row>
    <row r="445" spans="1:18" ht="15.75" customHeight="1" x14ac:dyDescent="0.25">
      <c r="A445" s="2">
        <v>5443094</v>
      </c>
      <c r="B445">
        <v>5443094</v>
      </c>
      <c r="C445" t="str">
        <f>HYPERLINK("https://ois.dk/map/5443094/sfe", "Link")</f>
        <v>Link</v>
      </c>
      <c r="D445" t="s">
        <v>601</v>
      </c>
      <c r="E445" s="17">
        <v>1.75</v>
      </c>
      <c r="F445" t="s">
        <v>602</v>
      </c>
      <c r="G445">
        <v>0.5</v>
      </c>
      <c r="H445">
        <v>0.25</v>
      </c>
      <c r="I445">
        <v>1</v>
      </c>
      <c r="Q445" s="1"/>
      <c r="R445" s="1">
        <v>1.97</v>
      </c>
    </row>
    <row r="446" spans="1:18" ht="15.75" customHeight="1" x14ac:dyDescent="0.25">
      <c r="A446" s="2">
        <v>5443095</v>
      </c>
      <c r="B446">
        <v>5443095</v>
      </c>
      <c r="C446" t="str">
        <f>HYPERLINK("https://ois.dk/map/5443095/sfe", "Link")</f>
        <v>Link</v>
      </c>
      <c r="D446" t="s">
        <v>603</v>
      </c>
      <c r="E446" s="17">
        <v>1.75</v>
      </c>
      <c r="F446" t="s">
        <v>604</v>
      </c>
      <c r="G446">
        <v>0.5</v>
      </c>
      <c r="H446">
        <v>0.25</v>
      </c>
      <c r="I446">
        <v>1</v>
      </c>
      <c r="Q446" s="1"/>
      <c r="R446" s="1">
        <v>2.02</v>
      </c>
    </row>
    <row r="447" spans="1:18" ht="15.75" customHeight="1" x14ac:dyDescent="0.25">
      <c r="A447" s="2">
        <v>5443096</v>
      </c>
      <c r="B447">
        <v>5443096</v>
      </c>
      <c r="C447" t="str">
        <f>HYPERLINK("https://ois.dk/map/5443096/sfe", "Link")</f>
        <v>Link</v>
      </c>
      <c r="D447" t="s">
        <v>605</v>
      </c>
      <c r="E447" s="17">
        <v>1.75</v>
      </c>
      <c r="F447" t="s">
        <v>606</v>
      </c>
      <c r="G447">
        <v>0.5</v>
      </c>
      <c r="H447">
        <v>0.25</v>
      </c>
      <c r="I447">
        <v>1</v>
      </c>
      <c r="Q447" s="1"/>
      <c r="R447" s="1">
        <v>2.09</v>
      </c>
    </row>
    <row r="448" spans="1:18" ht="15.75" customHeight="1" x14ac:dyDescent="0.25">
      <c r="A448" s="2">
        <v>5443097</v>
      </c>
      <c r="B448">
        <v>5443097</v>
      </c>
      <c r="C448" t="str">
        <f>HYPERLINK("https://ois.dk/map/5443097/sfe", "Link")</f>
        <v>Link</v>
      </c>
      <c r="D448" t="s">
        <v>607</v>
      </c>
      <c r="E448" s="17">
        <v>1.75</v>
      </c>
      <c r="F448" t="s">
        <v>608</v>
      </c>
      <c r="G448">
        <v>0.5</v>
      </c>
      <c r="H448">
        <v>0.25</v>
      </c>
      <c r="I448">
        <v>1</v>
      </c>
      <c r="Q448" s="1"/>
      <c r="R448" s="1">
        <v>1.99</v>
      </c>
    </row>
    <row r="449" spans="1:19" ht="15.75" customHeight="1" x14ac:dyDescent="0.25">
      <c r="A449" s="2">
        <v>5443098</v>
      </c>
      <c r="B449">
        <v>5443098</v>
      </c>
      <c r="C449" t="str">
        <f>HYPERLINK("https://ois.dk/map/5443098/sfe", "Link")</f>
        <v>Link</v>
      </c>
      <c r="D449" t="s">
        <v>609</v>
      </c>
      <c r="E449" s="17">
        <v>1.75</v>
      </c>
      <c r="F449" t="s">
        <v>610</v>
      </c>
      <c r="G449">
        <v>0.5</v>
      </c>
      <c r="H449">
        <v>0.25</v>
      </c>
      <c r="I449">
        <v>1</v>
      </c>
      <c r="Q449" s="1"/>
      <c r="R449" s="1">
        <v>1.99</v>
      </c>
    </row>
    <row r="450" spans="1:19" ht="15.75" customHeight="1" x14ac:dyDescent="0.25">
      <c r="A450" s="2">
        <v>5443101</v>
      </c>
      <c r="B450">
        <v>5443101</v>
      </c>
      <c r="C450" t="str">
        <f>HYPERLINK("https://ois.dk/map/5443101/sfe", "Link")</f>
        <v>Link</v>
      </c>
      <c r="D450" t="s">
        <v>611</v>
      </c>
      <c r="E450" s="17">
        <v>1.05</v>
      </c>
      <c r="F450" t="s">
        <v>612</v>
      </c>
      <c r="G450">
        <v>0.5</v>
      </c>
      <c r="H450">
        <v>0.25</v>
      </c>
      <c r="J450">
        <v>0.3</v>
      </c>
      <c r="Q450" s="1"/>
      <c r="R450" s="1"/>
      <c r="S450">
        <v>1.54</v>
      </c>
    </row>
    <row r="451" spans="1:19" ht="15.75" customHeight="1" x14ac:dyDescent="0.25">
      <c r="A451" s="2">
        <v>5443102</v>
      </c>
      <c r="B451">
        <v>5443102</v>
      </c>
      <c r="C451" t="str">
        <f>HYPERLINK("https://ois.dk/map/5443102/sfe", "Link")</f>
        <v>Link</v>
      </c>
      <c r="D451" t="s">
        <v>613</v>
      </c>
      <c r="E451" s="17">
        <v>1.75</v>
      </c>
      <c r="F451" t="s">
        <v>614</v>
      </c>
      <c r="G451">
        <v>0.5</v>
      </c>
      <c r="H451">
        <v>0.25</v>
      </c>
      <c r="I451">
        <v>1</v>
      </c>
      <c r="Q451" s="1"/>
      <c r="R451" s="1">
        <v>2.0299999999999998</v>
      </c>
    </row>
    <row r="452" spans="1:19" ht="15.75" customHeight="1" x14ac:dyDescent="0.25">
      <c r="A452" s="2">
        <v>5443103</v>
      </c>
      <c r="B452">
        <v>5443103</v>
      </c>
      <c r="C452" t="str">
        <f>HYPERLINK("https://ois.dk/map/5443103/sfe", "Link")</f>
        <v>Link</v>
      </c>
      <c r="D452" t="s">
        <v>615</v>
      </c>
      <c r="E452" s="17">
        <v>1.75</v>
      </c>
      <c r="F452" t="s">
        <v>616</v>
      </c>
      <c r="G452">
        <v>0.5</v>
      </c>
      <c r="H452">
        <v>0.25</v>
      </c>
      <c r="I452">
        <v>1</v>
      </c>
      <c r="Q452" s="1"/>
      <c r="R452" s="1">
        <v>2.13</v>
      </c>
    </row>
    <row r="453" spans="1:19" ht="15.75" customHeight="1" x14ac:dyDescent="0.25">
      <c r="A453" s="2">
        <v>5443104</v>
      </c>
      <c r="B453">
        <v>5443104</v>
      </c>
      <c r="C453" t="str">
        <f>HYPERLINK("https://ois.dk/map/5443104/sfe", "Link")</f>
        <v>Link</v>
      </c>
      <c r="D453" t="s">
        <v>617</v>
      </c>
      <c r="E453" s="17">
        <v>0.75</v>
      </c>
      <c r="G453">
        <v>0.5</v>
      </c>
      <c r="H453">
        <v>0.25</v>
      </c>
      <c r="Q453" s="1"/>
      <c r="R453" s="1"/>
    </row>
    <row r="454" spans="1:19" ht="15.75" customHeight="1" x14ac:dyDescent="0.25">
      <c r="A454" s="2">
        <v>5443105</v>
      </c>
      <c r="B454">
        <v>5443105</v>
      </c>
      <c r="C454" t="str">
        <f>HYPERLINK("https://ois.dk/map/5443105/sfe", "Link")</f>
        <v>Link</v>
      </c>
      <c r="D454" t="s">
        <v>618</v>
      </c>
      <c r="E454" s="17">
        <v>0.75</v>
      </c>
      <c r="G454">
        <v>0.5</v>
      </c>
      <c r="H454">
        <v>0.25</v>
      </c>
      <c r="Q454" s="1"/>
      <c r="R454" s="1"/>
    </row>
    <row r="455" spans="1:19" ht="15.75" customHeight="1" x14ac:dyDescent="0.25">
      <c r="A455" s="2">
        <v>5443106</v>
      </c>
      <c r="B455">
        <v>5443106</v>
      </c>
      <c r="C455" t="str">
        <f>HYPERLINK("https://ois.dk/map/5443106/sfe", "Link")</f>
        <v>Link</v>
      </c>
      <c r="D455" t="s">
        <v>619</v>
      </c>
      <c r="E455" s="17">
        <v>1.75</v>
      </c>
      <c r="F455" t="s">
        <v>620</v>
      </c>
      <c r="G455">
        <v>0.5</v>
      </c>
      <c r="H455">
        <v>0.25</v>
      </c>
      <c r="I455">
        <v>1</v>
      </c>
      <c r="Q455" s="1"/>
      <c r="R455" s="1">
        <v>0.92</v>
      </c>
    </row>
    <row r="456" spans="1:19" ht="15.75" customHeight="1" x14ac:dyDescent="0.25">
      <c r="A456" s="2">
        <v>5443107</v>
      </c>
      <c r="B456">
        <v>5443107</v>
      </c>
      <c r="C456" t="str">
        <f>HYPERLINK("https://ois.dk/map/5443107/sfe", "Link")</f>
        <v>Link</v>
      </c>
      <c r="D456" t="s">
        <v>621</v>
      </c>
      <c r="E456" s="17">
        <v>0.75</v>
      </c>
      <c r="G456">
        <v>0.5</v>
      </c>
      <c r="H456">
        <v>0.25</v>
      </c>
      <c r="Q456" s="1"/>
      <c r="R456" s="1"/>
    </row>
    <row r="457" spans="1:19" ht="15.75" customHeight="1" x14ac:dyDescent="0.25">
      <c r="A457" s="2">
        <v>5443113</v>
      </c>
      <c r="B457">
        <v>5443113</v>
      </c>
      <c r="C457" t="str">
        <f>HYPERLINK("https://ois.dk/map/5443113/sfe", "Link")</f>
        <v>Link</v>
      </c>
      <c r="D457" t="s">
        <v>622</v>
      </c>
      <c r="E457" s="17">
        <v>0.75</v>
      </c>
      <c r="G457">
        <v>0.5</v>
      </c>
      <c r="H457">
        <v>0.25</v>
      </c>
      <c r="Q457" s="1"/>
      <c r="R457" s="1"/>
    </row>
    <row r="458" spans="1:19" ht="15.75" customHeight="1" x14ac:dyDescent="0.25">
      <c r="A458" s="2">
        <v>5443114</v>
      </c>
      <c r="B458">
        <v>5443114</v>
      </c>
      <c r="C458" t="str">
        <f>HYPERLINK("https://ois.dk/map/5443114/sfe", "Link")</f>
        <v>Link</v>
      </c>
      <c r="D458" t="s">
        <v>623</v>
      </c>
      <c r="E458" s="17">
        <v>2.0499999999999998</v>
      </c>
      <c r="F458" t="s">
        <v>624</v>
      </c>
      <c r="G458">
        <v>0.5</v>
      </c>
      <c r="H458">
        <v>0.25</v>
      </c>
      <c r="I458">
        <v>1</v>
      </c>
      <c r="J458">
        <v>0.3</v>
      </c>
      <c r="Q458" s="1"/>
      <c r="R458" s="1">
        <v>1.71</v>
      </c>
      <c r="S458">
        <v>0.92</v>
      </c>
    </row>
    <row r="459" spans="1:19" ht="15.75" customHeight="1" x14ac:dyDescent="0.25">
      <c r="A459" s="2">
        <v>5443118</v>
      </c>
      <c r="B459">
        <v>5443118</v>
      </c>
      <c r="C459" t="str">
        <f>HYPERLINK("https://ois.dk/map/5443118/sfe", "Link")</f>
        <v>Link</v>
      </c>
      <c r="D459" t="s">
        <v>625</v>
      </c>
      <c r="E459" s="17">
        <v>0.5</v>
      </c>
      <c r="F459" t="s">
        <v>626</v>
      </c>
      <c r="G459">
        <v>0.5</v>
      </c>
      <c r="Q459" s="1"/>
      <c r="R459" s="1"/>
    </row>
    <row r="460" spans="1:19" ht="15.75" customHeight="1" x14ac:dyDescent="0.25">
      <c r="A460" s="2">
        <v>5443118</v>
      </c>
      <c r="B460">
        <v>5443118</v>
      </c>
      <c r="C460" t="str">
        <f>HYPERLINK("https://ois.dk/map/5443118/sfe", "Link")</f>
        <v>Link</v>
      </c>
      <c r="D460" t="s">
        <v>625</v>
      </c>
      <c r="E460" s="17">
        <v>0.5</v>
      </c>
      <c r="F460" t="s">
        <v>627</v>
      </c>
      <c r="G460">
        <v>0.5</v>
      </c>
      <c r="Q460" s="1"/>
      <c r="R460" s="1"/>
    </row>
    <row r="461" spans="1:19" ht="15.75" customHeight="1" x14ac:dyDescent="0.25">
      <c r="A461" s="2">
        <v>5443118</v>
      </c>
      <c r="B461">
        <v>5443118</v>
      </c>
      <c r="C461" t="str">
        <f>HYPERLINK("https://ois.dk/map/5443118/sfe", "Link")</f>
        <v>Link</v>
      </c>
      <c r="D461" t="s">
        <v>625</v>
      </c>
      <c r="E461" s="17">
        <v>0.5</v>
      </c>
      <c r="F461" t="s">
        <v>628</v>
      </c>
      <c r="G461">
        <v>0.5</v>
      </c>
      <c r="Q461" s="1"/>
      <c r="R461" s="1"/>
    </row>
    <row r="462" spans="1:19" ht="15.75" customHeight="1" x14ac:dyDescent="0.25">
      <c r="A462" s="2">
        <v>5443119</v>
      </c>
      <c r="B462">
        <v>5443119</v>
      </c>
      <c r="C462" t="str">
        <f>HYPERLINK("https://ois.dk/map/5443119/sfe", "Link")</f>
        <v>Link</v>
      </c>
      <c r="D462" t="s">
        <v>629</v>
      </c>
      <c r="E462" s="17">
        <v>0.5</v>
      </c>
      <c r="F462" t="s">
        <v>630</v>
      </c>
      <c r="G462">
        <v>0.5</v>
      </c>
      <c r="Q462" s="1"/>
      <c r="R462" s="1"/>
    </row>
    <row r="463" spans="1:19" ht="15.75" customHeight="1" x14ac:dyDescent="0.25">
      <c r="A463" s="2">
        <v>5443120</v>
      </c>
      <c r="B463">
        <v>5443120</v>
      </c>
      <c r="C463" t="str">
        <f>HYPERLINK("https://ois.dk/map/5443120/sfe", "Link")</f>
        <v>Link</v>
      </c>
      <c r="D463" t="s">
        <v>631</v>
      </c>
      <c r="E463" s="17">
        <v>0.5</v>
      </c>
      <c r="F463" t="s">
        <v>632</v>
      </c>
      <c r="G463">
        <v>0.5</v>
      </c>
      <c r="Q463" s="1"/>
      <c r="R463" s="1"/>
    </row>
    <row r="464" spans="1:19" ht="15.75" customHeight="1" x14ac:dyDescent="0.25">
      <c r="A464" s="2">
        <v>5443121</v>
      </c>
      <c r="B464">
        <v>5443121</v>
      </c>
      <c r="C464" t="str">
        <f t="shared" ref="C464:C470" si="16">HYPERLINK("https://ois.dk/map/5443121/sfe", "Link")</f>
        <v>Link</v>
      </c>
      <c r="D464" t="s">
        <v>633</v>
      </c>
      <c r="E464" s="17">
        <v>0.5</v>
      </c>
      <c r="F464" t="s">
        <v>634</v>
      </c>
      <c r="G464">
        <v>0.5</v>
      </c>
      <c r="Q464" s="1"/>
      <c r="R464" s="1"/>
    </row>
    <row r="465" spans="1:19" ht="15.75" customHeight="1" x14ac:dyDescent="0.25">
      <c r="A465" s="2">
        <v>5443121</v>
      </c>
      <c r="B465">
        <v>5443121</v>
      </c>
      <c r="C465" t="str">
        <f t="shared" si="16"/>
        <v>Link</v>
      </c>
      <c r="D465" t="s">
        <v>633</v>
      </c>
      <c r="E465" s="17">
        <v>0.5</v>
      </c>
      <c r="F465" t="s">
        <v>635</v>
      </c>
      <c r="G465">
        <v>0.5</v>
      </c>
      <c r="Q465" s="1"/>
      <c r="R465" s="1"/>
    </row>
    <row r="466" spans="1:19" ht="15.75" customHeight="1" x14ac:dyDescent="0.25">
      <c r="A466" s="2">
        <v>5443121</v>
      </c>
      <c r="B466">
        <v>5443121</v>
      </c>
      <c r="C466" t="str">
        <f t="shared" si="16"/>
        <v>Link</v>
      </c>
      <c r="D466" t="s">
        <v>633</v>
      </c>
      <c r="E466" s="17">
        <v>0.5</v>
      </c>
      <c r="F466" t="s">
        <v>636</v>
      </c>
      <c r="G466">
        <v>0.5</v>
      </c>
      <c r="Q466" s="1"/>
      <c r="R466" s="1"/>
    </row>
    <row r="467" spans="1:19" ht="15.75" customHeight="1" x14ac:dyDescent="0.25">
      <c r="A467" s="2">
        <v>5443121</v>
      </c>
      <c r="B467">
        <v>5443121</v>
      </c>
      <c r="C467" t="str">
        <f t="shared" si="16"/>
        <v>Link</v>
      </c>
      <c r="D467" t="s">
        <v>633</v>
      </c>
      <c r="E467" s="17">
        <v>0.5</v>
      </c>
      <c r="F467" t="s">
        <v>637</v>
      </c>
      <c r="G467">
        <v>0.5</v>
      </c>
      <c r="Q467" s="1"/>
      <c r="R467" s="1"/>
    </row>
    <row r="468" spans="1:19" ht="15.75" customHeight="1" x14ac:dyDescent="0.25">
      <c r="A468" s="2">
        <v>5443121</v>
      </c>
      <c r="B468">
        <v>5443121</v>
      </c>
      <c r="C468" t="str">
        <f t="shared" si="16"/>
        <v>Link</v>
      </c>
      <c r="D468" t="s">
        <v>633</v>
      </c>
      <c r="E468" s="17">
        <v>0.5</v>
      </c>
      <c r="F468" t="s">
        <v>638</v>
      </c>
      <c r="G468">
        <v>0.5</v>
      </c>
      <c r="Q468" s="1"/>
      <c r="R468" s="1"/>
    </row>
    <row r="469" spans="1:19" ht="15.75" customHeight="1" x14ac:dyDescent="0.25">
      <c r="A469" s="2">
        <v>5443121</v>
      </c>
      <c r="B469">
        <v>5443121</v>
      </c>
      <c r="C469" t="str">
        <f t="shared" si="16"/>
        <v>Link</v>
      </c>
      <c r="D469" t="s">
        <v>633</v>
      </c>
      <c r="E469" s="17">
        <v>0.5</v>
      </c>
      <c r="F469" t="s">
        <v>639</v>
      </c>
      <c r="G469">
        <v>0.5</v>
      </c>
      <c r="Q469" s="1"/>
      <c r="R469" s="1"/>
    </row>
    <row r="470" spans="1:19" ht="15.75" customHeight="1" x14ac:dyDescent="0.25">
      <c r="A470" s="2">
        <v>5443121</v>
      </c>
      <c r="B470">
        <v>5443121</v>
      </c>
      <c r="C470" t="str">
        <f t="shared" si="16"/>
        <v>Link</v>
      </c>
      <c r="D470" t="s">
        <v>633</v>
      </c>
      <c r="E470" s="17">
        <v>0.5</v>
      </c>
      <c r="F470" t="s">
        <v>640</v>
      </c>
      <c r="G470">
        <v>0.5</v>
      </c>
      <c r="Q470" s="1"/>
      <c r="R470" s="1"/>
    </row>
    <row r="471" spans="1:19" ht="15.75" customHeight="1" x14ac:dyDescent="0.25">
      <c r="A471" s="2">
        <v>5443122</v>
      </c>
      <c r="B471">
        <v>5443122</v>
      </c>
      <c r="C471" t="str">
        <f>HYPERLINK("https://ois.dk/map/5443122/sfe", "Link")</f>
        <v>Link</v>
      </c>
      <c r="D471" t="s">
        <v>641</v>
      </c>
      <c r="E471" s="17">
        <v>1.05</v>
      </c>
      <c r="F471" t="s">
        <v>642</v>
      </c>
      <c r="G471">
        <v>0.5</v>
      </c>
      <c r="H471">
        <v>0.25</v>
      </c>
      <c r="J471">
        <v>0.3</v>
      </c>
      <c r="Q471" s="1"/>
      <c r="R471" s="1"/>
      <c r="S471">
        <v>2</v>
      </c>
    </row>
    <row r="472" spans="1:19" ht="15.75" customHeight="1" x14ac:dyDescent="0.25">
      <c r="A472" s="2">
        <v>5443124</v>
      </c>
      <c r="B472">
        <v>5443124</v>
      </c>
      <c r="C472" t="str">
        <f>HYPERLINK("https://ois.dk/map/5443124/sfe", "Link")</f>
        <v>Link</v>
      </c>
      <c r="D472" t="s">
        <v>643</v>
      </c>
      <c r="E472" s="17">
        <v>0.5</v>
      </c>
      <c r="F472" t="s">
        <v>644</v>
      </c>
      <c r="G472">
        <v>0.5</v>
      </c>
      <c r="Q472" s="1"/>
      <c r="R472" s="1"/>
    </row>
    <row r="473" spans="1:19" ht="15.75" customHeight="1" x14ac:dyDescent="0.25">
      <c r="A473" s="2">
        <v>5443125</v>
      </c>
      <c r="B473">
        <v>5443125</v>
      </c>
      <c r="C473" t="str">
        <f>HYPERLINK("https://ois.dk/map/5443125/sfe", "Link")</f>
        <v>Link</v>
      </c>
      <c r="D473" t="s">
        <v>645</v>
      </c>
      <c r="E473" s="17">
        <v>0.5</v>
      </c>
      <c r="F473" t="s">
        <v>646</v>
      </c>
      <c r="G473">
        <v>0.5</v>
      </c>
      <c r="Q473" s="1"/>
      <c r="R473" s="1"/>
    </row>
    <row r="474" spans="1:19" ht="15.75" customHeight="1" x14ac:dyDescent="0.25">
      <c r="A474" s="2">
        <v>5443126</v>
      </c>
      <c r="B474">
        <v>5443126</v>
      </c>
      <c r="C474" t="str">
        <f>HYPERLINK("https://ois.dk/map/5443126/sfe", "Link")</f>
        <v>Link</v>
      </c>
      <c r="D474" t="s">
        <v>647</v>
      </c>
      <c r="E474" s="17">
        <v>0.5</v>
      </c>
      <c r="F474" t="s">
        <v>648</v>
      </c>
      <c r="G474">
        <v>0.5</v>
      </c>
      <c r="Q474" s="1"/>
      <c r="R474" s="1"/>
    </row>
    <row r="475" spans="1:19" ht="15.75" customHeight="1" x14ac:dyDescent="0.25">
      <c r="A475" s="2">
        <v>5443127</v>
      </c>
      <c r="B475">
        <v>5443127</v>
      </c>
      <c r="C475" t="str">
        <f>HYPERLINK("https://ois.dk/map/5443127/sfe", "Link")</f>
        <v>Link</v>
      </c>
      <c r="D475" t="s">
        <v>649</v>
      </c>
      <c r="E475" s="17">
        <v>0.5</v>
      </c>
      <c r="F475" t="s">
        <v>650</v>
      </c>
      <c r="G475">
        <v>0.5</v>
      </c>
      <c r="Q475" s="1"/>
      <c r="R475" s="1"/>
    </row>
    <row r="476" spans="1:19" ht="15.75" customHeight="1" x14ac:dyDescent="0.25">
      <c r="A476" s="2">
        <v>5443130</v>
      </c>
      <c r="B476">
        <v>5443130</v>
      </c>
      <c r="C476" t="str">
        <f>HYPERLINK("https://ois.dk/map/5443130/sfe", "Link")</f>
        <v>Link</v>
      </c>
      <c r="D476" t="s">
        <v>651</v>
      </c>
      <c r="E476" s="17">
        <v>0.5</v>
      </c>
      <c r="F476" t="s">
        <v>652</v>
      </c>
      <c r="G476">
        <v>0.5</v>
      </c>
      <c r="Q476" s="1"/>
      <c r="R476" s="1"/>
    </row>
    <row r="477" spans="1:19" ht="15.75" customHeight="1" x14ac:dyDescent="0.25">
      <c r="A477" s="2">
        <v>5443131</v>
      </c>
      <c r="B477">
        <v>5443131</v>
      </c>
      <c r="C477" t="str">
        <f t="shared" ref="C477:C485" si="17">HYPERLINK("https://ois.dk/map/5443131/sfe", "Link")</f>
        <v>Link</v>
      </c>
      <c r="D477" t="s">
        <v>653</v>
      </c>
      <c r="E477" s="17">
        <v>0.25</v>
      </c>
      <c r="F477" t="s">
        <v>654</v>
      </c>
      <c r="H477">
        <v>0.25</v>
      </c>
      <c r="Q477" s="1"/>
      <c r="R477" s="1"/>
    </row>
    <row r="478" spans="1:19" ht="15.75" customHeight="1" x14ac:dyDescent="0.25">
      <c r="A478" s="2">
        <v>5443131</v>
      </c>
      <c r="B478">
        <v>5443131</v>
      </c>
      <c r="C478" t="str">
        <f t="shared" si="17"/>
        <v>Link</v>
      </c>
      <c r="D478" t="s">
        <v>653</v>
      </c>
      <c r="E478" s="17">
        <v>0.5</v>
      </c>
      <c r="F478" t="s">
        <v>655</v>
      </c>
      <c r="G478">
        <v>0.5</v>
      </c>
      <c r="Q478" s="1"/>
      <c r="R478" s="1"/>
    </row>
    <row r="479" spans="1:19" ht="15.75" customHeight="1" x14ac:dyDescent="0.25">
      <c r="A479" s="2">
        <v>5443131</v>
      </c>
      <c r="B479">
        <v>5443131</v>
      </c>
      <c r="C479" t="str">
        <f t="shared" si="17"/>
        <v>Link</v>
      </c>
      <c r="D479" t="s">
        <v>653</v>
      </c>
      <c r="E479" s="17">
        <v>0.5</v>
      </c>
      <c r="F479" t="s">
        <v>656</v>
      </c>
      <c r="G479">
        <v>0.5</v>
      </c>
      <c r="Q479" s="1"/>
      <c r="R479" s="1"/>
    </row>
    <row r="480" spans="1:19" ht="15.75" customHeight="1" x14ac:dyDescent="0.25">
      <c r="A480" s="2">
        <v>5443131</v>
      </c>
      <c r="B480">
        <v>5443131</v>
      </c>
      <c r="C480" t="str">
        <f t="shared" si="17"/>
        <v>Link</v>
      </c>
      <c r="D480" t="s">
        <v>653</v>
      </c>
      <c r="E480" s="17">
        <v>0.5</v>
      </c>
      <c r="F480" t="s">
        <v>657</v>
      </c>
      <c r="G480">
        <v>0.5</v>
      </c>
      <c r="Q480" s="1"/>
      <c r="R480" s="1"/>
    </row>
    <row r="481" spans="1:19" ht="15.75" customHeight="1" x14ac:dyDescent="0.25">
      <c r="A481" s="2">
        <v>5443131</v>
      </c>
      <c r="B481">
        <v>5443131</v>
      </c>
      <c r="C481" t="str">
        <f t="shared" si="17"/>
        <v>Link</v>
      </c>
      <c r="D481" t="s">
        <v>653</v>
      </c>
      <c r="E481" s="17">
        <v>0.5</v>
      </c>
      <c r="F481" t="s">
        <v>658</v>
      </c>
      <c r="G481">
        <v>0.5</v>
      </c>
      <c r="Q481" s="1"/>
      <c r="R481" s="1"/>
    </row>
    <row r="482" spans="1:19" ht="15.75" customHeight="1" x14ac:dyDescent="0.25">
      <c r="A482" s="2">
        <v>5443131</v>
      </c>
      <c r="B482">
        <v>5443131</v>
      </c>
      <c r="C482" t="str">
        <f t="shared" si="17"/>
        <v>Link</v>
      </c>
      <c r="D482" t="s">
        <v>653</v>
      </c>
      <c r="E482" s="17">
        <v>0.5</v>
      </c>
      <c r="F482" t="s">
        <v>659</v>
      </c>
      <c r="G482">
        <v>0.5</v>
      </c>
      <c r="Q482" s="1"/>
      <c r="R482" s="1"/>
    </row>
    <row r="483" spans="1:19" ht="15.75" customHeight="1" x14ac:dyDescent="0.25">
      <c r="A483" s="2">
        <v>5443131</v>
      </c>
      <c r="B483">
        <v>5443131</v>
      </c>
      <c r="C483" t="str">
        <f t="shared" si="17"/>
        <v>Link</v>
      </c>
      <c r="D483" t="s">
        <v>653</v>
      </c>
      <c r="E483" s="17">
        <v>0.5</v>
      </c>
      <c r="F483" t="s">
        <v>660</v>
      </c>
      <c r="G483">
        <v>0.5</v>
      </c>
      <c r="Q483" s="1"/>
      <c r="R483" s="1"/>
    </row>
    <row r="484" spans="1:19" ht="15.75" customHeight="1" x14ac:dyDescent="0.25">
      <c r="A484" s="2">
        <v>5443131</v>
      </c>
      <c r="B484">
        <v>5443131</v>
      </c>
      <c r="C484" t="str">
        <f t="shared" si="17"/>
        <v>Link</v>
      </c>
      <c r="D484" t="s">
        <v>653</v>
      </c>
      <c r="E484" s="17">
        <v>0.5</v>
      </c>
      <c r="F484" t="s">
        <v>661</v>
      </c>
      <c r="G484">
        <v>0.5</v>
      </c>
      <c r="Q484" s="1"/>
      <c r="R484" s="1"/>
    </row>
    <row r="485" spans="1:19" ht="15.75" customHeight="1" x14ac:dyDescent="0.25">
      <c r="A485" s="2">
        <v>5443131</v>
      </c>
      <c r="B485">
        <v>5443131</v>
      </c>
      <c r="C485" t="str">
        <f t="shared" si="17"/>
        <v>Link</v>
      </c>
      <c r="D485" t="s">
        <v>653</v>
      </c>
      <c r="E485" s="17">
        <v>0.5</v>
      </c>
      <c r="F485" t="s">
        <v>662</v>
      </c>
      <c r="G485">
        <v>0.5</v>
      </c>
      <c r="Q485" s="1"/>
      <c r="R485" s="1"/>
    </row>
    <row r="486" spans="1:19" ht="15.75" customHeight="1" x14ac:dyDescent="0.25">
      <c r="A486" s="2">
        <v>5443132</v>
      </c>
      <c r="B486">
        <v>5443132</v>
      </c>
      <c r="C486" t="str">
        <f>HYPERLINK("https://ois.dk/map/5443132/sfe", "Link")</f>
        <v>Link</v>
      </c>
      <c r="D486" t="s">
        <v>663</v>
      </c>
      <c r="E486" s="17">
        <v>1.75</v>
      </c>
      <c r="F486" t="s">
        <v>664</v>
      </c>
      <c r="G486">
        <v>0.5</v>
      </c>
      <c r="H486">
        <v>0.25</v>
      </c>
      <c r="I486">
        <v>1</v>
      </c>
      <c r="Q486" s="1"/>
      <c r="R486" s="1">
        <v>2.17</v>
      </c>
    </row>
    <row r="487" spans="1:19" ht="15.75" customHeight="1" x14ac:dyDescent="0.25">
      <c r="A487" s="2">
        <v>5443133</v>
      </c>
      <c r="B487">
        <v>5443133</v>
      </c>
      <c r="C487" t="str">
        <f>HYPERLINK("https://ois.dk/map/5443133/sfe", "Link")</f>
        <v>Link</v>
      </c>
      <c r="D487" t="s">
        <v>665</v>
      </c>
      <c r="E487" s="17">
        <v>1.75</v>
      </c>
      <c r="F487" t="s">
        <v>666</v>
      </c>
      <c r="G487">
        <v>0.5</v>
      </c>
      <c r="H487">
        <v>0.25</v>
      </c>
      <c r="I487">
        <v>1</v>
      </c>
      <c r="Q487" s="1"/>
      <c r="R487" s="1">
        <v>2.17</v>
      </c>
    </row>
    <row r="488" spans="1:19" ht="15.75" customHeight="1" x14ac:dyDescent="0.25">
      <c r="A488" s="2">
        <v>5443134</v>
      </c>
      <c r="B488">
        <v>5443134</v>
      </c>
      <c r="C488" t="str">
        <f>HYPERLINK("https://ois.dk/map/5443134/sfe", "Link")</f>
        <v>Link</v>
      </c>
      <c r="D488" t="s">
        <v>667</v>
      </c>
      <c r="E488" s="17">
        <v>0.75</v>
      </c>
      <c r="F488" t="s">
        <v>668</v>
      </c>
      <c r="G488">
        <v>0.5</v>
      </c>
      <c r="H488">
        <v>0.25</v>
      </c>
      <c r="Q488" s="1"/>
      <c r="R488" s="1"/>
    </row>
    <row r="489" spans="1:19" ht="15.75" customHeight="1" x14ac:dyDescent="0.25">
      <c r="A489" s="2">
        <v>5443135</v>
      </c>
      <c r="B489">
        <v>5443135</v>
      </c>
      <c r="C489" t="str">
        <f>HYPERLINK("https://ois.dk/map/5443135/sfe", "Link")</f>
        <v>Link</v>
      </c>
      <c r="D489" t="s">
        <v>669</v>
      </c>
      <c r="E489" s="17">
        <v>0.5</v>
      </c>
      <c r="F489" t="s">
        <v>670</v>
      </c>
      <c r="G489">
        <v>0.5</v>
      </c>
      <c r="Q489" s="1"/>
      <c r="R489" s="1"/>
    </row>
    <row r="490" spans="1:19" ht="15.75" customHeight="1" x14ac:dyDescent="0.25">
      <c r="A490" s="2">
        <v>5443136</v>
      </c>
      <c r="B490">
        <v>5443136</v>
      </c>
      <c r="C490" t="str">
        <f>HYPERLINK("https://ois.dk/map/5443136/sfe", "Link")</f>
        <v>Link</v>
      </c>
      <c r="D490" t="s">
        <v>671</v>
      </c>
      <c r="E490" s="17">
        <v>3.05</v>
      </c>
      <c r="F490" t="s">
        <v>672</v>
      </c>
      <c r="G490">
        <v>0.5</v>
      </c>
      <c r="H490">
        <v>0.25</v>
      </c>
      <c r="I490">
        <v>1</v>
      </c>
      <c r="J490">
        <v>0.3</v>
      </c>
      <c r="K490">
        <v>1</v>
      </c>
      <c r="Q490" s="1"/>
      <c r="R490" s="1">
        <v>1.89</v>
      </c>
      <c r="S490">
        <v>1.51</v>
      </c>
    </row>
    <row r="491" spans="1:19" ht="15.75" customHeight="1" x14ac:dyDescent="0.25">
      <c r="A491" s="2">
        <v>5443137</v>
      </c>
      <c r="B491">
        <v>5443137</v>
      </c>
      <c r="C491" t="str">
        <f>HYPERLINK("https://ois.dk/map/5443137/sfe", "Link")</f>
        <v>Link</v>
      </c>
      <c r="D491" t="s">
        <v>673</v>
      </c>
      <c r="E491" s="17">
        <v>0.75</v>
      </c>
      <c r="F491" t="s">
        <v>674</v>
      </c>
      <c r="G491">
        <v>0.5</v>
      </c>
      <c r="H491">
        <v>0.25</v>
      </c>
      <c r="Q491" s="1"/>
      <c r="R491" s="1"/>
    </row>
    <row r="492" spans="1:19" ht="15.75" customHeight="1" x14ac:dyDescent="0.25">
      <c r="A492" s="2">
        <v>5443138</v>
      </c>
      <c r="B492">
        <v>5443138</v>
      </c>
      <c r="C492" t="str">
        <f>HYPERLINK("https://ois.dk/map/5443138/sfe", "Link")</f>
        <v>Link</v>
      </c>
      <c r="D492" t="s">
        <v>675</v>
      </c>
      <c r="E492" s="17">
        <v>0.25</v>
      </c>
      <c r="F492" t="s">
        <v>676</v>
      </c>
      <c r="H492">
        <v>0.25</v>
      </c>
      <c r="Q492" s="1"/>
      <c r="R492" s="1">
        <v>1.93</v>
      </c>
    </row>
    <row r="493" spans="1:19" ht="15.75" customHeight="1" x14ac:dyDescent="0.25">
      <c r="A493" s="2">
        <v>5443138</v>
      </c>
      <c r="B493">
        <v>5443138</v>
      </c>
      <c r="C493" t="str">
        <f>HYPERLINK("https://ois.dk/map/5443138/sfe", "Link")</f>
        <v>Link</v>
      </c>
      <c r="D493" t="s">
        <v>675</v>
      </c>
      <c r="E493" s="17">
        <v>1.5</v>
      </c>
      <c r="F493" t="s">
        <v>676</v>
      </c>
      <c r="G493">
        <v>0.5</v>
      </c>
      <c r="I493">
        <v>1</v>
      </c>
      <c r="Q493" s="1"/>
      <c r="R493" s="1">
        <v>2.11</v>
      </c>
    </row>
    <row r="494" spans="1:19" ht="15.75" customHeight="1" x14ac:dyDescent="0.25">
      <c r="A494" s="2">
        <v>5443138</v>
      </c>
      <c r="B494">
        <v>5443138</v>
      </c>
      <c r="C494" t="str">
        <f>HYPERLINK("https://ois.dk/map/5443138/sfe", "Link")</f>
        <v>Link</v>
      </c>
      <c r="D494" t="s">
        <v>675</v>
      </c>
      <c r="E494" s="17">
        <v>1.5</v>
      </c>
      <c r="F494" t="s">
        <v>676</v>
      </c>
      <c r="G494">
        <v>0.5</v>
      </c>
      <c r="I494">
        <v>1</v>
      </c>
      <c r="Q494" s="1"/>
      <c r="R494" s="1">
        <v>1.93</v>
      </c>
    </row>
    <row r="495" spans="1:19" ht="15.75" customHeight="1" x14ac:dyDescent="0.25">
      <c r="A495" s="2">
        <v>5443138</v>
      </c>
      <c r="B495">
        <v>5443138</v>
      </c>
      <c r="C495" t="str">
        <f>HYPERLINK("https://ois.dk/map/5443138/sfe", "Link")</f>
        <v>Link</v>
      </c>
      <c r="D495" t="s">
        <v>675</v>
      </c>
      <c r="E495" s="17">
        <v>1.5</v>
      </c>
      <c r="F495" t="s">
        <v>676</v>
      </c>
      <c r="G495">
        <v>0.5</v>
      </c>
      <c r="I495">
        <v>1</v>
      </c>
      <c r="Q495" s="1"/>
      <c r="R495" s="1">
        <v>2.0499999999999998</v>
      </c>
    </row>
    <row r="496" spans="1:19" ht="15.75" customHeight="1" x14ac:dyDescent="0.25">
      <c r="A496" s="2">
        <v>5443139</v>
      </c>
      <c r="B496">
        <v>5443139</v>
      </c>
      <c r="C496" t="str">
        <f>HYPERLINK("https://ois.dk/map/5443139/sfe", "Link")</f>
        <v>Link</v>
      </c>
      <c r="D496" t="s">
        <v>677</v>
      </c>
      <c r="E496" s="17">
        <v>1</v>
      </c>
      <c r="F496" t="s">
        <v>678</v>
      </c>
      <c r="I496">
        <v>1</v>
      </c>
      <c r="Q496" s="1"/>
      <c r="R496" s="1">
        <v>1.92</v>
      </c>
    </row>
    <row r="497" spans="1:19" ht="15.75" customHeight="1" x14ac:dyDescent="0.25">
      <c r="A497" s="2">
        <v>5443140</v>
      </c>
      <c r="B497">
        <v>5443140</v>
      </c>
      <c r="C497" t="str">
        <f>HYPERLINK("https://ois.dk/map/5443140/sfe", "Link")</f>
        <v>Link</v>
      </c>
      <c r="D497" t="s">
        <v>679</v>
      </c>
      <c r="E497" s="17">
        <v>1.75</v>
      </c>
      <c r="F497" t="s">
        <v>674</v>
      </c>
      <c r="G497">
        <v>0.5</v>
      </c>
      <c r="H497">
        <v>0.25</v>
      </c>
      <c r="I497">
        <v>1</v>
      </c>
      <c r="Q497" s="1"/>
      <c r="R497" s="1">
        <v>1.74</v>
      </c>
    </row>
    <row r="498" spans="1:19" ht="15.75" customHeight="1" x14ac:dyDescent="0.25">
      <c r="A498" s="2">
        <v>5443143</v>
      </c>
      <c r="B498">
        <v>5443143</v>
      </c>
      <c r="C498" t="str">
        <f>HYPERLINK("https://ois.dk/map/5443143/sfe", "Link")</f>
        <v>Link</v>
      </c>
      <c r="D498" t="s">
        <v>680</v>
      </c>
      <c r="E498" s="17">
        <v>0.25</v>
      </c>
      <c r="F498" t="s">
        <v>681</v>
      </c>
      <c r="H498">
        <v>0.25</v>
      </c>
      <c r="Q498" s="1"/>
      <c r="R498" s="1"/>
    </row>
    <row r="499" spans="1:19" ht="15.75" customHeight="1" x14ac:dyDescent="0.25">
      <c r="A499" s="2">
        <v>5443143</v>
      </c>
      <c r="B499">
        <v>5443143</v>
      </c>
      <c r="C499" t="str">
        <f>HYPERLINK("https://ois.dk/map/5443143/sfe", "Link")</f>
        <v>Link</v>
      </c>
      <c r="D499" t="s">
        <v>680</v>
      </c>
      <c r="E499" s="17">
        <v>0.5</v>
      </c>
      <c r="F499" t="s">
        <v>682</v>
      </c>
      <c r="G499">
        <v>0.5</v>
      </c>
      <c r="Q499" s="1"/>
      <c r="R499" s="1"/>
    </row>
    <row r="500" spans="1:19" ht="15.75" customHeight="1" x14ac:dyDescent="0.25">
      <c r="A500" s="2">
        <v>5443143</v>
      </c>
      <c r="B500">
        <v>5443143</v>
      </c>
      <c r="C500" t="str">
        <f>HYPERLINK("https://ois.dk/map/5443143/sfe", "Link")</f>
        <v>Link</v>
      </c>
      <c r="D500" t="s">
        <v>680</v>
      </c>
      <c r="E500" s="17">
        <v>0.5</v>
      </c>
      <c r="F500" t="s">
        <v>683</v>
      </c>
      <c r="G500">
        <v>0.5</v>
      </c>
      <c r="Q500" s="1"/>
      <c r="R500" s="1"/>
    </row>
    <row r="501" spans="1:19" ht="15.75" customHeight="1" x14ac:dyDescent="0.25">
      <c r="A501" s="2">
        <v>5443144</v>
      </c>
      <c r="B501">
        <v>5443144</v>
      </c>
      <c r="C501" t="str">
        <f>HYPERLINK("https://ois.dk/map/5443144/sfe", "Link")</f>
        <v>Link</v>
      </c>
      <c r="D501" t="s">
        <v>684</v>
      </c>
      <c r="E501" s="17">
        <v>1.75</v>
      </c>
      <c r="F501" t="s">
        <v>685</v>
      </c>
      <c r="G501">
        <v>0.5</v>
      </c>
      <c r="H501">
        <v>0.25</v>
      </c>
      <c r="I501">
        <v>1</v>
      </c>
      <c r="Q501" s="1"/>
      <c r="R501" s="1">
        <v>1.93</v>
      </c>
    </row>
    <row r="502" spans="1:19" ht="15.75" customHeight="1" x14ac:dyDescent="0.25">
      <c r="A502" s="2">
        <v>5443145</v>
      </c>
      <c r="B502">
        <v>5443145</v>
      </c>
      <c r="C502" t="str">
        <f>HYPERLINK("https://ois.dk/map/5443145/sfe", "Link")</f>
        <v>Link</v>
      </c>
      <c r="D502" t="s">
        <v>686</v>
      </c>
      <c r="E502" s="17">
        <v>1.75</v>
      </c>
      <c r="F502" t="s">
        <v>687</v>
      </c>
      <c r="G502">
        <v>0.5</v>
      </c>
      <c r="H502">
        <v>0.25</v>
      </c>
      <c r="I502">
        <v>1</v>
      </c>
      <c r="Q502" s="1"/>
      <c r="R502" s="1">
        <v>1.8</v>
      </c>
    </row>
    <row r="503" spans="1:19" ht="15.75" customHeight="1" x14ac:dyDescent="0.25">
      <c r="A503" s="2">
        <v>5443146</v>
      </c>
      <c r="B503">
        <v>5443146</v>
      </c>
      <c r="C503" t="str">
        <f>HYPERLINK("https://ois.dk/map/5443146/sfe", "Link")</f>
        <v>Link</v>
      </c>
      <c r="D503" t="s">
        <v>688</v>
      </c>
      <c r="E503" s="17">
        <v>1.25</v>
      </c>
      <c r="F503" t="s">
        <v>689</v>
      </c>
      <c r="H503">
        <v>0.25</v>
      </c>
      <c r="I503">
        <v>1</v>
      </c>
      <c r="Q503" s="1"/>
      <c r="R503" s="1">
        <v>1.86</v>
      </c>
    </row>
    <row r="504" spans="1:19" ht="15.75" customHeight="1" x14ac:dyDescent="0.25">
      <c r="A504" s="2">
        <v>5443146</v>
      </c>
      <c r="B504">
        <v>5443146</v>
      </c>
      <c r="C504" t="str">
        <f>HYPERLINK("https://ois.dk/map/5443146/sfe", "Link")</f>
        <v>Link</v>
      </c>
      <c r="D504" t="s">
        <v>688</v>
      </c>
      <c r="E504" s="17">
        <v>0.5</v>
      </c>
      <c r="F504" t="s">
        <v>690</v>
      </c>
      <c r="G504">
        <v>0.5</v>
      </c>
      <c r="Q504" s="1"/>
      <c r="R504" s="1"/>
    </row>
    <row r="505" spans="1:19" ht="15.75" customHeight="1" x14ac:dyDescent="0.25">
      <c r="A505" s="2">
        <v>5443146</v>
      </c>
      <c r="B505">
        <v>5443146</v>
      </c>
      <c r="C505" t="str">
        <f>HYPERLINK("https://ois.dk/map/5443146/sfe", "Link")</f>
        <v>Link</v>
      </c>
      <c r="D505" t="s">
        <v>688</v>
      </c>
      <c r="E505" s="17">
        <v>0.5</v>
      </c>
      <c r="F505" t="s">
        <v>691</v>
      </c>
      <c r="G505">
        <v>0.5</v>
      </c>
      <c r="Q505" s="1"/>
      <c r="R505" s="1"/>
    </row>
    <row r="506" spans="1:19" ht="15.75" customHeight="1" x14ac:dyDescent="0.25">
      <c r="A506" s="2">
        <v>5443147</v>
      </c>
      <c r="B506">
        <v>5443147</v>
      </c>
      <c r="C506" t="str">
        <f>HYPERLINK("https://ois.dk/map/5443147/sfe", "Link")</f>
        <v>Link</v>
      </c>
      <c r="D506" t="s">
        <v>692</v>
      </c>
      <c r="E506" s="17">
        <v>1.25</v>
      </c>
      <c r="F506" t="s">
        <v>693</v>
      </c>
      <c r="H506">
        <v>0.25</v>
      </c>
      <c r="I506">
        <v>1</v>
      </c>
      <c r="Q506" s="1"/>
      <c r="R506" s="1">
        <v>1.98</v>
      </c>
    </row>
    <row r="507" spans="1:19" ht="15.75" customHeight="1" x14ac:dyDescent="0.25">
      <c r="A507" s="2">
        <v>5443147</v>
      </c>
      <c r="B507">
        <v>5443147</v>
      </c>
      <c r="C507" t="str">
        <f>HYPERLINK("https://ois.dk/map/5443147/sfe", "Link")</f>
        <v>Link</v>
      </c>
      <c r="D507" t="s">
        <v>692</v>
      </c>
      <c r="E507" s="17">
        <v>0.5</v>
      </c>
      <c r="F507" t="s">
        <v>694</v>
      </c>
      <c r="G507">
        <v>0.5</v>
      </c>
      <c r="Q507" s="1"/>
      <c r="R507" s="1"/>
    </row>
    <row r="508" spans="1:19" ht="15.75" customHeight="1" x14ac:dyDescent="0.25">
      <c r="A508" s="2">
        <v>5443147</v>
      </c>
      <c r="B508">
        <v>5443147</v>
      </c>
      <c r="C508" t="str">
        <f>HYPERLINK("https://ois.dk/map/5443147/sfe", "Link")</f>
        <v>Link</v>
      </c>
      <c r="D508" t="s">
        <v>692</v>
      </c>
      <c r="E508" s="17">
        <v>0.5</v>
      </c>
      <c r="F508" t="s">
        <v>695</v>
      </c>
      <c r="G508">
        <v>0.5</v>
      </c>
      <c r="Q508" s="1"/>
      <c r="R508" s="1"/>
    </row>
    <row r="509" spans="1:19" ht="15.75" customHeight="1" x14ac:dyDescent="0.25">
      <c r="A509" s="2">
        <v>5443148</v>
      </c>
      <c r="B509">
        <v>5443148</v>
      </c>
      <c r="C509" t="str">
        <f>HYPERLINK("https://ois.dk/map/5443148/sfe", "Link")</f>
        <v>Link</v>
      </c>
      <c r="D509" t="s">
        <v>696</v>
      </c>
      <c r="E509" s="17">
        <v>2.0499999999999998</v>
      </c>
      <c r="F509" t="s">
        <v>697</v>
      </c>
      <c r="G509">
        <v>0.5</v>
      </c>
      <c r="H509">
        <v>0.25</v>
      </c>
      <c r="I509">
        <v>1</v>
      </c>
      <c r="J509">
        <v>0.3</v>
      </c>
      <c r="Q509" s="1"/>
      <c r="R509" s="1">
        <v>1.99</v>
      </c>
      <c r="S509">
        <v>1.67</v>
      </c>
    </row>
    <row r="510" spans="1:19" ht="15.75" customHeight="1" x14ac:dyDescent="0.25">
      <c r="A510" s="2">
        <v>5443149</v>
      </c>
      <c r="B510">
        <v>286810</v>
      </c>
      <c r="C510" t="str">
        <f>HYPERLINK("https://ois.dk/map/286810/sfe", "Link")</f>
        <v>Link</v>
      </c>
      <c r="D510" t="s">
        <v>698</v>
      </c>
      <c r="E510" s="17">
        <v>0.5</v>
      </c>
      <c r="F510" t="s">
        <v>699</v>
      </c>
      <c r="G510">
        <v>0.5</v>
      </c>
      <c r="Q510" s="1"/>
      <c r="R510" s="1"/>
      <c r="S510">
        <v>1.92</v>
      </c>
    </row>
    <row r="511" spans="1:19" ht="15.75" customHeight="1" x14ac:dyDescent="0.25">
      <c r="A511" s="2">
        <v>5443149</v>
      </c>
      <c r="B511">
        <v>286811</v>
      </c>
      <c r="C511" t="str">
        <f>HYPERLINK("https://ois.dk/map/286811/sfe", "Link")</f>
        <v>Link</v>
      </c>
      <c r="D511" t="s">
        <v>698</v>
      </c>
      <c r="E511" s="17">
        <v>0.5</v>
      </c>
      <c r="F511" t="s">
        <v>700</v>
      </c>
      <c r="G511">
        <v>0.5</v>
      </c>
      <c r="Q511" s="1"/>
      <c r="R511" s="1"/>
      <c r="S511">
        <v>1.92</v>
      </c>
    </row>
    <row r="512" spans="1:19" ht="15.75" customHeight="1" x14ac:dyDescent="0.25">
      <c r="A512" s="2">
        <v>5443149</v>
      </c>
      <c r="B512">
        <v>286812</v>
      </c>
      <c r="C512" t="str">
        <f>HYPERLINK("https://ois.dk/map/286812/sfe", "Link")</f>
        <v>Link</v>
      </c>
      <c r="D512" t="s">
        <v>698</v>
      </c>
      <c r="E512" s="17">
        <v>0.5</v>
      </c>
      <c r="F512" t="s">
        <v>701</v>
      </c>
      <c r="G512">
        <v>0.5</v>
      </c>
      <c r="Q512" s="1"/>
      <c r="R512" s="1"/>
      <c r="S512">
        <v>1.92</v>
      </c>
    </row>
    <row r="513" spans="1:19" ht="15.75" customHeight="1" x14ac:dyDescent="0.25">
      <c r="A513" s="2">
        <v>5443149</v>
      </c>
      <c r="B513">
        <v>286813</v>
      </c>
      <c r="C513" t="str">
        <f>HYPERLINK("https://ois.dk/map/286813/sfe", "Link")</f>
        <v>Link</v>
      </c>
      <c r="D513" t="s">
        <v>698</v>
      </c>
      <c r="E513" s="17">
        <v>0.5</v>
      </c>
      <c r="F513" t="s">
        <v>702</v>
      </c>
      <c r="G513">
        <v>0.5</v>
      </c>
      <c r="Q513" s="1"/>
      <c r="R513" s="1"/>
      <c r="S513">
        <v>1.92</v>
      </c>
    </row>
    <row r="514" spans="1:19" ht="15.75" customHeight="1" x14ac:dyDescent="0.25">
      <c r="A514" s="2">
        <v>5443149</v>
      </c>
      <c r="B514">
        <v>286814</v>
      </c>
      <c r="C514" t="str">
        <f>HYPERLINK("https://ois.dk/map/286814/sfe", "Link")</f>
        <v>Link</v>
      </c>
      <c r="D514" t="s">
        <v>698</v>
      </c>
      <c r="E514" s="17">
        <v>0.5</v>
      </c>
      <c r="F514" t="s">
        <v>703</v>
      </c>
      <c r="G514">
        <v>0.5</v>
      </c>
      <c r="Q514" s="1"/>
      <c r="R514" s="1"/>
      <c r="S514">
        <v>1.92</v>
      </c>
    </row>
    <row r="515" spans="1:19" ht="15.75" customHeight="1" x14ac:dyDescent="0.25">
      <c r="A515" s="2">
        <v>5443149</v>
      </c>
      <c r="B515">
        <v>286815</v>
      </c>
      <c r="C515" t="str">
        <f>HYPERLINK("https://ois.dk/map/286815/sfe", "Link")</f>
        <v>Link</v>
      </c>
      <c r="D515" t="s">
        <v>698</v>
      </c>
      <c r="E515" s="17">
        <v>0.5</v>
      </c>
      <c r="F515" t="s">
        <v>704</v>
      </c>
      <c r="G515">
        <v>0.5</v>
      </c>
      <c r="Q515" s="1"/>
      <c r="R515" s="1"/>
      <c r="S515">
        <v>1.92</v>
      </c>
    </row>
    <row r="516" spans="1:19" ht="15.75" customHeight="1" x14ac:dyDescent="0.25">
      <c r="A516" s="2">
        <v>5443149</v>
      </c>
      <c r="B516">
        <v>286816</v>
      </c>
      <c r="C516" t="str">
        <f>HYPERLINK("https://ois.dk/map/286816/sfe", "Link")</f>
        <v>Link</v>
      </c>
      <c r="D516" t="s">
        <v>698</v>
      </c>
      <c r="E516" s="17">
        <v>0.5</v>
      </c>
      <c r="F516" t="s">
        <v>705</v>
      </c>
      <c r="G516">
        <v>0.5</v>
      </c>
      <c r="Q516" s="1"/>
      <c r="R516" s="1"/>
      <c r="S516">
        <v>1.92</v>
      </c>
    </row>
    <row r="517" spans="1:19" ht="15.75" customHeight="1" x14ac:dyDescent="0.25">
      <c r="A517" s="2">
        <v>5443149</v>
      </c>
      <c r="B517">
        <v>286816</v>
      </c>
      <c r="C517" t="str">
        <f>HYPERLINK("https://ois.dk/map/286816/sfe", "Link")</f>
        <v>Link</v>
      </c>
      <c r="D517" t="s">
        <v>698</v>
      </c>
      <c r="E517" s="17">
        <v>0.5</v>
      </c>
      <c r="F517" t="s">
        <v>706</v>
      </c>
      <c r="G517">
        <v>0.5</v>
      </c>
      <c r="Q517" s="1"/>
      <c r="R517" s="1"/>
      <c r="S517">
        <v>1.92</v>
      </c>
    </row>
    <row r="518" spans="1:19" ht="15.75" customHeight="1" x14ac:dyDescent="0.25">
      <c r="A518" s="2">
        <v>5443149</v>
      </c>
      <c r="B518">
        <v>5443149</v>
      </c>
      <c r="C518" t="str">
        <f>HYPERLINK("https://ois.dk/map/5443149/sfe", "Link")</f>
        <v>Link</v>
      </c>
      <c r="D518" t="s">
        <v>698</v>
      </c>
      <c r="E518" s="17">
        <v>0.54999999999999982</v>
      </c>
      <c r="F518" t="s">
        <v>707</v>
      </c>
      <c r="H518">
        <v>0.25</v>
      </c>
      <c r="J518">
        <v>0.3</v>
      </c>
      <c r="Q518" s="1"/>
      <c r="R518" s="1"/>
      <c r="S518">
        <v>1.92</v>
      </c>
    </row>
    <row r="519" spans="1:19" ht="15.75" customHeight="1" x14ac:dyDescent="0.25">
      <c r="A519" s="2">
        <v>5443149</v>
      </c>
      <c r="B519">
        <v>5443149</v>
      </c>
      <c r="C519" t="str">
        <f>HYPERLINK("https://ois.dk/map/5443149/sfe", "Link")</f>
        <v>Link</v>
      </c>
      <c r="D519" t="s">
        <v>698</v>
      </c>
      <c r="E519" s="17">
        <v>0.5</v>
      </c>
      <c r="F519" t="s">
        <v>708</v>
      </c>
      <c r="G519">
        <v>0.5</v>
      </c>
      <c r="Q519" s="1"/>
      <c r="R519" s="1"/>
      <c r="S519">
        <v>1.92</v>
      </c>
    </row>
    <row r="520" spans="1:19" ht="15.75" customHeight="1" x14ac:dyDescent="0.25">
      <c r="A520" s="2">
        <v>5443150</v>
      </c>
      <c r="B520">
        <v>5443150</v>
      </c>
      <c r="C520" t="str">
        <f>HYPERLINK("https://ois.dk/map/5443150/sfe", "Link")</f>
        <v>Link</v>
      </c>
      <c r="D520" t="s">
        <v>709</v>
      </c>
      <c r="E520" s="17">
        <v>1.75</v>
      </c>
      <c r="F520" t="s">
        <v>710</v>
      </c>
      <c r="G520">
        <v>0.5</v>
      </c>
      <c r="H520">
        <v>0.25</v>
      </c>
      <c r="I520">
        <v>1</v>
      </c>
      <c r="Q520" s="1"/>
      <c r="R520" s="1">
        <v>2.06</v>
      </c>
    </row>
    <row r="521" spans="1:19" ht="15.75" customHeight="1" x14ac:dyDescent="0.25">
      <c r="A521" s="2">
        <v>5443152</v>
      </c>
      <c r="B521">
        <v>5443152</v>
      </c>
      <c r="C521" t="str">
        <f>HYPERLINK("https://ois.dk/map/5443152/sfe", "Link")</f>
        <v>Link</v>
      </c>
      <c r="D521" t="s">
        <v>711</v>
      </c>
      <c r="E521" s="17">
        <v>2.0499999999999998</v>
      </c>
      <c r="F521" t="s">
        <v>712</v>
      </c>
      <c r="G521">
        <v>0.5</v>
      </c>
      <c r="H521">
        <v>0.25</v>
      </c>
      <c r="I521">
        <v>1</v>
      </c>
      <c r="J521">
        <v>0.3</v>
      </c>
      <c r="Q521" s="1"/>
      <c r="R521" s="1">
        <v>2.0099999999999998</v>
      </c>
    </row>
    <row r="522" spans="1:19" ht="15.75" customHeight="1" x14ac:dyDescent="0.25">
      <c r="A522" s="2">
        <v>5443158</v>
      </c>
      <c r="B522">
        <v>286817</v>
      </c>
      <c r="C522" t="str">
        <f>HYPERLINK("https://ois.dk/map/286817/sfe", "Link")</f>
        <v>Link</v>
      </c>
      <c r="D522" t="s">
        <v>713</v>
      </c>
      <c r="E522" s="17">
        <v>0.5</v>
      </c>
      <c r="F522" t="s">
        <v>714</v>
      </c>
      <c r="G522">
        <v>0.5</v>
      </c>
      <c r="Q522" s="1"/>
      <c r="R522" s="1"/>
    </row>
    <row r="523" spans="1:19" ht="15.75" customHeight="1" x14ac:dyDescent="0.25">
      <c r="A523" s="2">
        <v>5443158</v>
      </c>
      <c r="B523">
        <v>286819</v>
      </c>
      <c r="C523" t="str">
        <f>HYPERLINK("https://ois.dk/map/286819/sfe", "Link")</f>
        <v>Link</v>
      </c>
      <c r="D523" t="s">
        <v>713</v>
      </c>
      <c r="E523" s="17">
        <v>0.5</v>
      </c>
      <c r="F523" t="s">
        <v>715</v>
      </c>
      <c r="G523">
        <v>0.5</v>
      </c>
      <c r="Q523" s="1"/>
      <c r="R523" s="1"/>
    </row>
    <row r="524" spans="1:19" ht="15.75" customHeight="1" x14ac:dyDescent="0.25">
      <c r="A524" s="2">
        <v>5443158</v>
      </c>
      <c r="B524">
        <v>286819</v>
      </c>
      <c r="C524" t="str">
        <f>HYPERLINK("https://ois.dk/map/286819/sfe", "Link")</f>
        <v>Link</v>
      </c>
      <c r="D524" t="s">
        <v>713</v>
      </c>
      <c r="E524" s="17">
        <v>0.5</v>
      </c>
      <c r="F524" t="s">
        <v>716</v>
      </c>
      <c r="G524">
        <v>0.5</v>
      </c>
      <c r="Q524" s="1"/>
      <c r="R524" s="1"/>
    </row>
    <row r="525" spans="1:19" ht="15.75" customHeight="1" x14ac:dyDescent="0.25">
      <c r="A525" s="2">
        <v>5443158</v>
      </c>
      <c r="B525">
        <v>286820</v>
      </c>
      <c r="C525" t="str">
        <f>HYPERLINK("https://ois.dk/map/286820/sfe", "Link")</f>
        <v>Link</v>
      </c>
      <c r="D525" t="s">
        <v>713</v>
      </c>
      <c r="E525" s="17">
        <v>0.5</v>
      </c>
      <c r="F525" t="s">
        <v>717</v>
      </c>
      <c r="G525">
        <v>0.5</v>
      </c>
      <c r="Q525" s="1"/>
      <c r="R525" s="1"/>
    </row>
    <row r="526" spans="1:19" ht="15.75" customHeight="1" x14ac:dyDescent="0.25">
      <c r="A526" s="2">
        <v>5443158</v>
      </c>
      <c r="B526">
        <v>286821</v>
      </c>
      <c r="C526" t="str">
        <f>HYPERLINK("https://ois.dk/map/286821/sfe", "Link")</f>
        <v>Link</v>
      </c>
      <c r="D526" t="s">
        <v>713</v>
      </c>
      <c r="E526" s="17">
        <v>0.5</v>
      </c>
      <c r="F526" t="s">
        <v>718</v>
      </c>
      <c r="G526">
        <v>0.5</v>
      </c>
      <c r="Q526" s="1"/>
      <c r="R526" s="1"/>
    </row>
    <row r="527" spans="1:19" ht="15.75" customHeight="1" x14ac:dyDescent="0.25">
      <c r="A527" s="2">
        <v>5443158</v>
      </c>
      <c r="B527">
        <v>5443158</v>
      </c>
      <c r="C527" t="str">
        <f>HYPERLINK("https://ois.dk/map/5443158/sfe", "Link")</f>
        <v>Link</v>
      </c>
      <c r="D527" t="s">
        <v>713</v>
      </c>
      <c r="E527" s="17">
        <v>2.25</v>
      </c>
      <c r="F527" t="s">
        <v>719</v>
      </c>
      <c r="H527">
        <v>0.25</v>
      </c>
      <c r="I527">
        <v>1</v>
      </c>
      <c r="K527">
        <v>1</v>
      </c>
      <c r="Q527" s="1"/>
      <c r="R527" s="1">
        <v>1.99</v>
      </c>
    </row>
    <row r="528" spans="1:19" ht="15.75" customHeight="1" x14ac:dyDescent="0.25">
      <c r="A528" s="2">
        <v>5443162</v>
      </c>
      <c r="B528">
        <v>5443162</v>
      </c>
      <c r="C528" t="str">
        <f>HYPERLINK("https://ois.dk/map/5443162/sfe", "Link")</f>
        <v>Link</v>
      </c>
      <c r="D528" t="s">
        <v>720</v>
      </c>
      <c r="E528" s="17">
        <v>1.25</v>
      </c>
      <c r="F528" t="s">
        <v>721</v>
      </c>
      <c r="H528">
        <v>0.25</v>
      </c>
      <c r="I528">
        <v>1</v>
      </c>
      <c r="Q528" s="1"/>
      <c r="R528" s="1">
        <v>2.13</v>
      </c>
    </row>
    <row r="529" spans="1:19" ht="15.75" customHeight="1" x14ac:dyDescent="0.25">
      <c r="A529" s="2">
        <v>5443162</v>
      </c>
      <c r="B529">
        <v>5443162</v>
      </c>
      <c r="C529" t="str">
        <f>HYPERLINK("https://ois.dk/map/5443162/sfe", "Link")</f>
        <v>Link</v>
      </c>
      <c r="D529" t="s">
        <v>720</v>
      </c>
      <c r="E529" s="17">
        <v>0.5</v>
      </c>
      <c r="F529" t="s">
        <v>722</v>
      </c>
      <c r="G529">
        <v>0.5</v>
      </c>
      <c r="Q529" s="1"/>
      <c r="R529" s="1"/>
    </row>
    <row r="530" spans="1:19" ht="15.75" customHeight="1" x14ac:dyDescent="0.25">
      <c r="A530" s="2">
        <v>5443162</v>
      </c>
      <c r="B530">
        <v>5443162</v>
      </c>
      <c r="C530" t="str">
        <f>HYPERLINK("https://ois.dk/map/5443162/sfe", "Link")</f>
        <v>Link</v>
      </c>
      <c r="D530" t="s">
        <v>720</v>
      </c>
      <c r="E530" s="17">
        <v>0.5</v>
      </c>
      <c r="F530" t="s">
        <v>723</v>
      </c>
      <c r="G530">
        <v>0.5</v>
      </c>
      <c r="Q530" s="1"/>
      <c r="R530" s="1"/>
    </row>
    <row r="531" spans="1:19" ht="15.75" customHeight="1" x14ac:dyDescent="0.25">
      <c r="A531" s="2">
        <v>5443163</v>
      </c>
      <c r="B531">
        <v>5443163</v>
      </c>
      <c r="C531" t="str">
        <f t="shared" ref="C531:C536" si="18">HYPERLINK("https://ois.dk/map/5443163/sfe", "Link")</f>
        <v>Link</v>
      </c>
      <c r="D531" t="s">
        <v>724</v>
      </c>
      <c r="E531" s="17">
        <v>1.55</v>
      </c>
      <c r="F531" t="s">
        <v>725</v>
      </c>
      <c r="H531">
        <v>0.25</v>
      </c>
      <c r="I531">
        <v>1</v>
      </c>
      <c r="J531">
        <v>0.3</v>
      </c>
      <c r="Q531" s="1"/>
      <c r="R531" s="1">
        <v>2.09</v>
      </c>
      <c r="S531">
        <v>2.08</v>
      </c>
    </row>
    <row r="532" spans="1:19" ht="15.75" customHeight="1" x14ac:dyDescent="0.25">
      <c r="A532" s="2">
        <v>5443163</v>
      </c>
      <c r="B532">
        <v>5443163</v>
      </c>
      <c r="C532" t="str">
        <f t="shared" si="18"/>
        <v>Link</v>
      </c>
      <c r="D532" t="s">
        <v>724</v>
      </c>
      <c r="E532" s="17">
        <v>0.5</v>
      </c>
      <c r="F532" t="s">
        <v>725</v>
      </c>
      <c r="G532">
        <v>0.5</v>
      </c>
      <c r="Q532" s="1"/>
      <c r="R532" s="1"/>
      <c r="S532">
        <v>2.08</v>
      </c>
    </row>
    <row r="533" spans="1:19" ht="15.75" customHeight="1" x14ac:dyDescent="0.25">
      <c r="A533" s="2">
        <v>5443163</v>
      </c>
      <c r="B533">
        <v>5443163</v>
      </c>
      <c r="C533" t="str">
        <f t="shared" si="18"/>
        <v>Link</v>
      </c>
      <c r="D533" t="s">
        <v>724</v>
      </c>
      <c r="E533" s="17">
        <v>0.5</v>
      </c>
      <c r="F533" t="s">
        <v>726</v>
      </c>
      <c r="G533">
        <v>0.5</v>
      </c>
      <c r="Q533" s="1"/>
      <c r="R533" s="1"/>
      <c r="S533">
        <v>2.08</v>
      </c>
    </row>
    <row r="534" spans="1:19" ht="15.75" customHeight="1" x14ac:dyDescent="0.25">
      <c r="A534" s="2">
        <v>5443163</v>
      </c>
      <c r="B534">
        <v>5443163</v>
      </c>
      <c r="C534" t="str">
        <f t="shared" si="18"/>
        <v>Link</v>
      </c>
      <c r="D534" t="s">
        <v>724</v>
      </c>
      <c r="E534" s="17">
        <v>0.5</v>
      </c>
      <c r="F534" t="s">
        <v>727</v>
      </c>
      <c r="G534">
        <v>0.5</v>
      </c>
      <c r="Q534" s="1"/>
      <c r="R534" s="1"/>
      <c r="S534">
        <v>2.08</v>
      </c>
    </row>
    <row r="535" spans="1:19" ht="15.75" customHeight="1" x14ac:dyDescent="0.25">
      <c r="A535" s="2">
        <v>5443163</v>
      </c>
      <c r="B535">
        <v>5443163</v>
      </c>
      <c r="C535" t="str">
        <f t="shared" si="18"/>
        <v>Link</v>
      </c>
      <c r="D535" t="s">
        <v>724</v>
      </c>
      <c r="E535" s="17">
        <v>0.5</v>
      </c>
      <c r="F535" t="s">
        <v>728</v>
      </c>
      <c r="G535">
        <v>0.5</v>
      </c>
      <c r="Q535" s="1"/>
      <c r="R535" s="1"/>
      <c r="S535">
        <v>2.08</v>
      </c>
    </row>
    <row r="536" spans="1:19" ht="15.75" customHeight="1" x14ac:dyDescent="0.25">
      <c r="A536" s="2">
        <v>5443163</v>
      </c>
      <c r="B536">
        <v>5443163</v>
      </c>
      <c r="C536" t="str">
        <f t="shared" si="18"/>
        <v>Link</v>
      </c>
      <c r="D536" t="s">
        <v>724</v>
      </c>
      <c r="E536" s="17">
        <v>0.5</v>
      </c>
      <c r="F536" t="s">
        <v>729</v>
      </c>
      <c r="G536">
        <v>0.5</v>
      </c>
      <c r="Q536" s="1"/>
      <c r="R536" s="1"/>
      <c r="S536">
        <v>2.08</v>
      </c>
    </row>
    <row r="537" spans="1:19" ht="15.75" customHeight="1" x14ac:dyDescent="0.25">
      <c r="A537" s="2">
        <v>5443164</v>
      </c>
      <c r="B537">
        <v>5443164</v>
      </c>
      <c r="C537" t="str">
        <f t="shared" ref="C537:C547" si="19">HYPERLINK("https://ois.dk/map/5443164/sfe", "Link")</f>
        <v>Link</v>
      </c>
      <c r="D537" t="s">
        <v>730</v>
      </c>
      <c r="E537" s="17">
        <v>0.25</v>
      </c>
      <c r="F537" t="s">
        <v>731</v>
      </c>
      <c r="H537">
        <v>0.25</v>
      </c>
      <c r="Q537" s="1"/>
      <c r="R537" s="1">
        <v>1.88</v>
      </c>
    </row>
    <row r="538" spans="1:19" ht="15.75" customHeight="1" x14ac:dyDescent="0.25">
      <c r="A538" s="2">
        <v>5443164</v>
      </c>
      <c r="B538">
        <v>5443164</v>
      </c>
      <c r="C538" t="str">
        <f t="shared" si="19"/>
        <v>Link</v>
      </c>
      <c r="D538" t="s">
        <v>730</v>
      </c>
      <c r="E538" s="17">
        <v>1.5</v>
      </c>
      <c r="F538" t="s">
        <v>731</v>
      </c>
      <c r="G538">
        <v>0.5</v>
      </c>
      <c r="I538">
        <v>1</v>
      </c>
      <c r="Q538" s="1"/>
      <c r="R538" s="1">
        <v>1.88</v>
      </c>
    </row>
    <row r="539" spans="1:19" ht="15.75" customHeight="1" x14ac:dyDescent="0.25">
      <c r="A539" s="2">
        <v>5443164</v>
      </c>
      <c r="B539">
        <v>5443164</v>
      </c>
      <c r="C539" t="str">
        <f t="shared" si="19"/>
        <v>Link</v>
      </c>
      <c r="D539" t="s">
        <v>730</v>
      </c>
      <c r="E539" s="17">
        <v>1.5</v>
      </c>
      <c r="F539" t="s">
        <v>732</v>
      </c>
      <c r="G539">
        <v>0.5</v>
      </c>
      <c r="I539">
        <v>1</v>
      </c>
      <c r="Q539" s="1"/>
      <c r="R539" s="1">
        <v>1.88</v>
      </c>
    </row>
    <row r="540" spans="1:19" ht="15.75" customHeight="1" x14ac:dyDescent="0.25">
      <c r="A540" s="2">
        <v>5443164</v>
      </c>
      <c r="B540">
        <v>5443164</v>
      </c>
      <c r="C540" t="str">
        <f t="shared" si="19"/>
        <v>Link</v>
      </c>
      <c r="D540" t="s">
        <v>730</v>
      </c>
      <c r="E540" s="17">
        <v>0.5</v>
      </c>
      <c r="F540" t="s">
        <v>733</v>
      </c>
      <c r="G540">
        <v>0.5</v>
      </c>
      <c r="Q540" s="1"/>
      <c r="R540" s="1"/>
    </row>
    <row r="541" spans="1:19" ht="15.75" customHeight="1" x14ac:dyDescent="0.25">
      <c r="A541" s="2">
        <v>5443164</v>
      </c>
      <c r="B541">
        <v>5443164</v>
      </c>
      <c r="C541" t="str">
        <f t="shared" si="19"/>
        <v>Link</v>
      </c>
      <c r="D541" t="s">
        <v>730</v>
      </c>
      <c r="E541" s="17">
        <v>0.5</v>
      </c>
      <c r="F541" t="s">
        <v>734</v>
      </c>
      <c r="G541">
        <v>0.5</v>
      </c>
      <c r="Q541" s="1"/>
      <c r="R541" s="1"/>
    </row>
    <row r="542" spans="1:19" ht="15.75" customHeight="1" x14ac:dyDescent="0.25">
      <c r="A542" s="2">
        <v>5443164</v>
      </c>
      <c r="B542">
        <v>5443164</v>
      </c>
      <c r="C542" t="str">
        <f t="shared" si="19"/>
        <v>Link</v>
      </c>
      <c r="D542" t="s">
        <v>730</v>
      </c>
      <c r="E542" s="17">
        <v>0.5</v>
      </c>
      <c r="F542" t="s">
        <v>735</v>
      </c>
      <c r="G542">
        <v>0.5</v>
      </c>
      <c r="Q542" s="1"/>
      <c r="R542" s="1"/>
    </row>
    <row r="543" spans="1:19" ht="15.75" customHeight="1" x14ac:dyDescent="0.25">
      <c r="A543" s="2">
        <v>5443164</v>
      </c>
      <c r="B543">
        <v>5443164</v>
      </c>
      <c r="C543" t="str">
        <f t="shared" si="19"/>
        <v>Link</v>
      </c>
      <c r="D543" t="s">
        <v>730</v>
      </c>
      <c r="E543" s="17">
        <v>1.5</v>
      </c>
      <c r="F543" t="s">
        <v>736</v>
      </c>
      <c r="G543">
        <v>0.5</v>
      </c>
      <c r="I543">
        <v>1</v>
      </c>
      <c r="Q543" s="1"/>
      <c r="R543" s="1">
        <v>1.88</v>
      </c>
    </row>
    <row r="544" spans="1:19" ht="15.75" customHeight="1" x14ac:dyDescent="0.25">
      <c r="A544" s="2">
        <v>5443164</v>
      </c>
      <c r="B544">
        <v>5443164</v>
      </c>
      <c r="C544" t="str">
        <f t="shared" si="19"/>
        <v>Link</v>
      </c>
      <c r="D544" t="s">
        <v>730</v>
      </c>
      <c r="E544" s="17">
        <v>1.5</v>
      </c>
      <c r="F544" t="s">
        <v>737</v>
      </c>
      <c r="G544">
        <v>0.5</v>
      </c>
      <c r="I544">
        <v>1</v>
      </c>
      <c r="Q544" s="1"/>
      <c r="R544" s="1">
        <v>1.88</v>
      </c>
    </row>
    <row r="545" spans="1:19" ht="15.75" customHeight="1" x14ac:dyDescent="0.25">
      <c r="A545" s="2">
        <v>5443164</v>
      </c>
      <c r="B545">
        <v>5443164</v>
      </c>
      <c r="C545" t="str">
        <f t="shared" si="19"/>
        <v>Link</v>
      </c>
      <c r="D545" t="s">
        <v>730</v>
      </c>
      <c r="E545" s="17">
        <v>0.5</v>
      </c>
      <c r="F545" t="s">
        <v>738</v>
      </c>
      <c r="G545">
        <v>0.5</v>
      </c>
      <c r="Q545" s="1"/>
      <c r="R545" s="1"/>
    </row>
    <row r="546" spans="1:19" ht="15.75" customHeight="1" x14ac:dyDescent="0.25">
      <c r="A546" s="2">
        <v>5443164</v>
      </c>
      <c r="B546">
        <v>5443164</v>
      </c>
      <c r="C546" t="str">
        <f t="shared" si="19"/>
        <v>Link</v>
      </c>
      <c r="D546" t="s">
        <v>730</v>
      </c>
      <c r="E546" s="17">
        <v>0.5</v>
      </c>
      <c r="F546" t="s">
        <v>739</v>
      </c>
      <c r="G546">
        <v>0.5</v>
      </c>
      <c r="Q546" s="1"/>
      <c r="R546" s="1"/>
    </row>
    <row r="547" spans="1:19" ht="15.75" customHeight="1" x14ac:dyDescent="0.25">
      <c r="A547" s="2">
        <v>5443164</v>
      </c>
      <c r="B547">
        <v>5443164</v>
      </c>
      <c r="C547" t="str">
        <f t="shared" si="19"/>
        <v>Link</v>
      </c>
      <c r="D547" t="s">
        <v>730</v>
      </c>
      <c r="E547" s="17">
        <v>1.5</v>
      </c>
      <c r="F547" t="s">
        <v>740</v>
      </c>
      <c r="G547">
        <v>0.5</v>
      </c>
      <c r="I547">
        <v>1</v>
      </c>
      <c r="Q547" s="1"/>
      <c r="R547" s="1">
        <v>1.88</v>
      </c>
    </row>
    <row r="548" spans="1:19" ht="15.75" customHeight="1" x14ac:dyDescent="0.25">
      <c r="A548" s="2">
        <v>5443165</v>
      </c>
      <c r="B548">
        <v>5443165</v>
      </c>
      <c r="C548" t="str">
        <f>HYPERLINK("https://ois.dk/map/5443165/sfe", "Link")</f>
        <v>Link</v>
      </c>
      <c r="D548" t="s">
        <v>741</v>
      </c>
      <c r="E548" s="17">
        <v>0.55000000000000004</v>
      </c>
      <c r="F548" t="s">
        <v>742</v>
      </c>
      <c r="H548">
        <v>0.25</v>
      </c>
      <c r="J548">
        <v>0.3</v>
      </c>
      <c r="Q548" s="1"/>
      <c r="R548" s="1"/>
      <c r="S548">
        <v>1.88</v>
      </c>
    </row>
    <row r="549" spans="1:19" ht="15.75" customHeight="1" x14ac:dyDescent="0.25">
      <c r="A549" s="2">
        <v>5443165</v>
      </c>
      <c r="B549">
        <v>5443165</v>
      </c>
      <c r="C549" t="str">
        <f>HYPERLINK("https://ois.dk/map/5443165/sfe", "Link")</f>
        <v>Link</v>
      </c>
      <c r="D549" t="s">
        <v>741</v>
      </c>
      <c r="E549" s="17">
        <v>0.5</v>
      </c>
      <c r="F549" t="s">
        <v>743</v>
      </c>
      <c r="G549">
        <v>0.5</v>
      </c>
      <c r="Q549" s="1"/>
      <c r="R549" s="1"/>
      <c r="S549">
        <v>1.88</v>
      </c>
    </row>
    <row r="550" spans="1:19" ht="15.75" customHeight="1" x14ac:dyDescent="0.25">
      <c r="A550" s="2">
        <v>5443165</v>
      </c>
      <c r="B550">
        <v>5443165</v>
      </c>
      <c r="C550" t="str">
        <f>HYPERLINK("https://ois.dk/map/5443165/sfe", "Link")</f>
        <v>Link</v>
      </c>
      <c r="D550" t="s">
        <v>741</v>
      </c>
      <c r="E550" s="17">
        <v>0.5</v>
      </c>
      <c r="F550" t="s">
        <v>742</v>
      </c>
      <c r="G550">
        <v>0.5</v>
      </c>
      <c r="Q550" s="1"/>
      <c r="R550" s="1"/>
      <c r="S550">
        <v>1.88</v>
      </c>
    </row>
    <row r="551" spans="1:19" ht="15.75" customHeight="1" x14ac:dyDescent="0.25">
      <c r="A551" s="2">
        <v>5443166</v>
      </c>
      <c r="B551">
        <v>5443166</v>
      </c>
      <c r="C551" t="str">
        <f>HYPERLINK("https://ois.dk/map/5443166/sfe", "Link")</f>
        <v>Link</v>
      </c>
      <c r="D551" t="s">
        <v>744</v>
      </c>
      <c r="E551" s="17">
        <v>0.75</v>
      </c>
      <c r="F551" t="s">
        <v>745</v>
      </c>
      <c r="G551">
        <v>0.5</v>
      </c>
      <c r="H551">
        <v>0.25</v>
      </c>
      <c r="Q551" s="1"/>
      <c r="R551" s="1"/>
    </row>
    <row r="552" spans="1:19" ht="15.75" customHeight="1" x14ac:dyDescent="0.25">
      <c r="A552" s="2">
        <v>5443168</v>
      </c>
      <c r="B552">
        <v>5443168</v>
      </c>
      <c r="C552" t="str">
        <f t="shared" ref="C552:C560" si="20">HYPERLINK("https://ois.dk/map/5443168/sfe", "Link")</f>
        <v>Link</v>
      </c>
      <c r="D552" t="s">
        <v>746</v>
      </c>
      <c r="E552" s="17">
        <v>0.25</v>
      </c>
      <c r="F552" t="s">
        <v>747</v>
      </c>
      <c r="H552">
        <v>0.25</v>
      </c>
      <c r="Q552" s="1"/>
      <c r="R552" s="1"/>
    </row>
    <row r="553" spans="1:19" ht="15.75" customHeight="1" x14ac:dyDescent="0.25">
      <c r="A553" s="2">
        <v>5443168</v>
      </c>
      <c r="B553">
        <v>5443168</v>
      </c>
      <c r="C553" t="str">
        <f t="shared" si="20"/>
        <v>Link</v>
      </c>
      <c r="D553" t="s">
        <v>746</v>
      </c>
      <c r="E553" s="17">
        <v>0.5</v>
      </c>
      <c r="F553" t="s">
        <v>747</v>
      </c>
      <c r="G553">
        <v>0.5</v>
      </c>
      <c r="Q553" s="1"/>
      <c r="R553" s="1"/>
    </row>
    <row r="554" spans="1:19" ht="15.75" customHeight="1" x14ac:dyDescent="0.25">
      <c r="A554" s="2">
        <v>5443168</v>
      </c>
      <c r="B554">
        <v>5443168</v>
      </c>
      <c r="C554" t="str">
        <f t="shared" si="20"/>
        <v>Link</v>
      </c>
      <c r="D554" t="s">
        <v>746</v>
      </c>
      <c r="E554" s="17">
        <v>0.5</v>
      </c>
      <c r="F554" t="s">
        <v>748</v>
      </c>
      <c r="G554">
        <v>0.5</v>
      </c>
      <c r="Q554" s="1"/>
      <c r="R554" s="1"/>
    </row>
    <row r="555" spans="1:19" ht="15.75" customHeight="1" x14ac:dyDescent="0.25">
      <c r="A555" s="2">
        <v>5443168</v>
      </c>
      <c r="B555">
        <v>5443168</v>
      </c>
      <c r="C555" t="str">
        <f t="shared" si="20"/>
        <v>Link</v>
      </c>
      <c r="D555" t="s">
        <v>746</v>
      </c>
      <c r="E555" s="17">
        <v>0.5</v>
      </c>
      <c r="F555" t="s">
        <v>749</v>
      </c>
      <c r="G555">
        <v>0.5</v>
      </c>
      <c r="Q555" s="1"/>
      <c r="R555" s="1"/>
    </row>
    <row r="556" spans="1:19" ht="15.75" customHeight="1" x14ac:dyDescent="0.25">
      <c r="A556" s="2">
        <v>5443168</v>
      </c>
      <c r="B556">
        <v>5443168</v>
      </c>
      <c r="C556" t="str">
        <f t="shared" si="20"/>
        <v>Link</v>
      </c>
      <c r="D556" t="s">
        <v>746</v>
      </c>
      <c r="E556" s="17">
        <v>0.5</v>
      </c>
      <c r="F556" t="s">
        <v>750</v>
      </c>
      <c r="G556">
        <v>0.5</v>
      </c>
      <c r="Q556" s="1"/>
      <c r="R556" s="1"/>
    </row>
    <row r="557" spans="1:19" ht="15.75" customHeight="1" x14ac:dyDescent="0.25">
      <c r="A557" s="2">
        <v>5443168</v>
      </c>
      <c r="B557">
        <v>5443168</v>
      </c>
      <c r="C557" t="str">
        <f t="shared" si="20"/>
        <v>Link</v>
      </c>
      <c r="D557" t="s">
        <v>746</v>
      </c>
      <c r="E557" s="17">
        <v>0.5</v>
      </c>
      <c r="F557" t="s">
        <v>751</v>
      </c>
      <c r="G557">
        <v>0.5</v>
      </c>
      <c r="Q557" s="1"/>
      <c r="R557" s="1"/>
    </row>
    <row r="558" spans="1:19" ht="15.75" customHeight="1" x14ac:dyDescent="0.25">
      <c r="A558" s="2">
        <v>5443168</v>
      </c>
      <c r="B558">
        <v>5443168</v>
      </c>
      <c r="C558" t="str">
        <f t="shared" si="20"/>
        <v>Link</v>
      </c>
      <c r="D558" t="s">
        <v>746</v>
      </c>
      <c r="E558" s="17">
        <v>0.5</v>
      </c>
      <c r="F558" t="s">
        <v>752</v>
      </c>
      <c r="G558">
        <v>0.5</v>
      </c>
      <c r="Q558" s="1"/>
      <c r="R558" s="1"/>
    </row>
    <row r="559" spans="1:19" ht="15.75" customHeight="1" x14ac:dyDescent="0.25">
      <c r="A559" s="2">
        <v>5443168</v>
      </c>
      <c r="B559">
        <v>5443168</v>
      </c>
      <c r="C559" t="str">
        <f t="shared" si="20"/>
        <v>Link</v>
      </c>
      <c r="D559" t="s">
        <v>746</v>
      </c>
      <c r="E559" s="17">
        <v>0.5</v>
      </c>
      <c r="F559" t="s">
        <v>753</v>
      </c>
      <c r="G559">
        <v>0.5</v>
      </c>
      <c r="Q559" s="1"/>
      <c r="R559" s="1"/>
    </row>
    <row r="560" spans="1:19" ht="15.75" customHeight="1" x14ac:dyDescent="0.25">
      <c r="A560" s="2">
        <v>5443168</v>
      </c>
      <c r="B560">
        <v>5443168</v>
      </c>
      <c r="C560" t="str">
        <f t="shared" si="20"/>
        <v>Link</v>
      </c>
      <c r="D560" t="s">
        <v>746</v>
      </c>
      <c r="E560" s="17">
        <v>0.5</v>
      </c>
      <c r="F560" t="s">
        <v>754</v>
      </c>
      <c r="G560">
        <v>0.5</v>
      </c>
      <c r="Q560" s="1"/>
      <c r="R560" s="1"/>
    </row>
    <row r="561" spans="1:18" ht="15.75" customHeight="1" x14ac:dyDescent="0.25">
      <c r="A561" s="2">
        <v>5443169</v>
      </c>
      <c r="B561">
        <v>5443169</v>
      </c>
      <c r="C561" t="str">
        <f>HYPERLINK("https://ois.dk/map/5443169/sfe", "Link")</f>
        <v>Link</v>
      </c>
      <c r="D561" t="s">
        <v>755</v>
      </c>
      <c r="E561" s="17">
        <v>0.5</v>
      </c>
      <c r="F561" t="s">
        <v>756</v>
      </c>
      <c r="G561">
        <v>0.5</v>
      </c>
      <c r="Q561" s="1"/>
      <c r="R561" s="1"/>
    </row>
    <row r="562" spans="1:18" ht="15.75" customHeight="1" x14ac:dyDescent="0.25">
      <c r="A562" s="2">
        <v>5443169</v>
      </c>
      <c r="B562">
        <v>5443169</v>
      </c>
      <c r="C562" t="str">
        <f>HYPERLINK("https://ois.dk/map/5443169/sfe", "Link")</f>
        <v>Link</v>
      </c>
      <c r="D562" t="s">
        <v>755</v>
      </c>
      <c r="E562" s="17">
        <v>0.5</v>
      </c>
      <c r="F562" t="s">
        <v>757</v>
      </c>
      <c r="G562">
        <v>0.5</v>
      </c>
      <c r="Q562" s="1"/>
      <c r="R562" s="1"/>
    </row>
    <row r="563" spans="1:18" ht="15.75" customHeight="1" x14ac:dyDescent="0.25">
      <c r="A563" s="2">
        <v>5443169</v>
      </c>
      <c r="B563">
        <v>5443169</v>
      </c>
      <c r="C563" t="str">
        <f>HYPERLINK("https://ois.dk/map/5443169/sfe", "Link")</f>
        <v>Link</v>
      </c>
      <c r="D563" t="s">
        <v>755</v>
      </c>
      <c r="E563" s="17">
        <v>0.5</v>
      </c>
      <c r="F563" t="s">
        <v>758</v>
      </c>
      <c r="G563">
        <v>0.5</v>
      </c>
      <c r="Q563" s="1"/>
      <c r="R563" s="1"/>
    </row>
    <row r="564" spans="1:18" ht="15.75" customHeight="1" x14ac:dyDescent="0.25">
      <c r="A564" s="2">
        <v>5443171</v>
      </c>
      <c r="B564">
        <v>5443171</v>
      </c>
      <c r="C564" t="str">
        <f>HYPERLINK("https://ois.dk/map/5443171/sfe", "Link")</f>
        <v>Link</v>
      </c>
      <c r="D564" t="s">
        <v>759</v>
      </c>
      <c r="E564" s="17">
        <v>0.5</v>
      </c>
      <c r="F564" t="s">
        <v>760</v>
      </c>
      <c r="G564">
        <v>0.5</v>
      </c>
      <c r="Q564" s="1"/>
      <c r="R564" s="1"/>
    </row>
    <row r="565" spans="1:18" ht="15.75" customHeight="1" x14ac:dyDescent="0.25">
      <c r="A565" s="2">
        <v>5443172</v>
      </c>
      <c r="B565">
        <v>5443172</v>
      </c>
      <c r="C565" t="str">
        <f>HYPERLINK("https://ois.dk/map/5443172/sfe", "Link")</f>
        <v>Link</v>
      </c>
      <c r="D565" t="s">
        <v>761</v>
      </c>
      <c r="E565" s="17">
        <v>0.5</v>
      </c>
      <c r="F565" t="s">
        <v>762</v>
      </c>
      <c r="G565">
        <v>0.5</v>
      </c>
      <c r="Q565" s="1"/>
      <c r="R565" s="1"/>
    </row>
    <row r="566" spans="1:18" ht="15.75" customHeight="1" x14ac:dyDescent="0.25">
      <c r="A566" s="2">
        <v>5443173</v>
      </c>
      <c r="B566">
        <v>5443173</v>
      </c>
      <c r="C566" t="str">
        <f>HYPERLINK("https://ois.dk/map/5443173/sfe", "Link")</f>
        <v>Link</v>
      </c>
      <c r="D566" t="s">
        <v>763</v>
      </c>
      <c r="E566" s="17">
        <v>0.5</v>
      </c>
      <c r="F566" t="s">
        <v>764</v>
      </c>
      <c r="G566">
        <v>0.5</v>
      </c>
      <c r="Q566" s="1"/>
      <c r="R566" s="1"/>
    </row>
    <row r="567" spans="1:18" ht="15.75" customHeight="1" x14ac:dyDescent="0.25">
      <c r="A567" s="2">
        <v>5443173</v>
      </c>
      <c r="B567">
        <v>5443173</v>
      </c>
      <c r="C567" t="str">
        <f>HYPERLINK("https://ois.dk/map/5443173/sfe", "Link")</f>
        <v>Link</v>
      </c>
      <c r="D567" t="s">
        <v>763</v>
      </c>
      <c r="E567" s="17">
        <v>0.5</v>
      </c>
      <c r="F567" t="s">
        <v>765</v>
      </c>
      <c r="G567">
        <v>0.5</v>
      </c>
      <c r="Q567" s="1"/>
      <c r="R567" s="1"/>
    </row>
    <row r="568" spans="1:18" ht="15.75" customHeight="1" x14ac:dyDescent="0.25">
      <c r="A568" s="2">
        <v>5443174</v>
      </c>
      <c r="B568">
        <v>5443174</v>
      </c>
      <c r="C568" t="str">
        <f>HYPERLINK("https://ois.dk/map/5443174/sfe", "Link")</f>
        <v>Link</v>
      </c>
      <c r="D568" t="s">
        <v>766</v>
      </c>
      <c r="E568" s="17">
        <v>0.5</v>
      </c>
      <c r="G568">
        <v>0.5</v>
      </c>
      <c r="Q568" s="1"/>
      <c r="R568" s="1"/>
    </row>
    <row r="569" spans="1:18" ht="15.75" customHeight="1" x14ac:dyDescent="0.25">
      <c r="A569" s="2">
        <v>5443175</v>
      </c>
      <c r="B569">
        <v>5443175</v>
      </c>
      <c r="C569" t="str">
        <f t="shared" ref="C569:C574" si="21">HYPERLINK("https://ois.dk/map/5443175/sfe", "Link")</f>
        <v>Link</v>
      </c>
      <c r="D569" t="s">
        <v>767</v>
      </c>
      <c r="E569" s="17">
        <v>0.5</v>
      </c>
      <c r="F569" t="s">
        <v>768</v>
      </c>
      <c r="G569">
        <v>0.5</v>
      </c>
      <c r="Q569" s="1"/>
      <c r="R569" s="1"/>
    </row>
    <row r="570" spans="1:18" ht="15.75" customHeight="1" x14ac:dyDescent="0.25">
      <c r="A570" s="2">
        <v>5443175</v>
      </c>
      <c r="B570">
        <v>5443175</v>
      </c>
      <c r="C570" t="str">
        <f t="shared" si="21"/>
        <v>Link</v>
      </c>
      <c r="D570" t="s">
        <v>767</v>
      </c>
      <c r="E570" s="17">
        <v>0.5</v>
      </c>
      <c r="F570" t="s">
        <v>769</v>
      </c>
      <c r="G570">
        <v>0.5</v>
      </c>
      <c r="Q570" s="1"/>
      <c r="R570" s="1"/>
    </row>
    <row r="571" spans="1:18" ht="15.75" customHeight="1" x14ac:dyDescent="0.25">
      <c r="A571" s="2">
        <v>5443175</v>
      </c>
      <c r="B571">
        <v>5443175</v>
      </c>
      <c r="C571" t="str">
        <f t="shared" si="21"/>
        <v>Link</v>
      </c>
      <c r="D571" t="s">
        <v>767</v>
      </c>
      <c r="E571" s="17">
        <v>0.5</v>
      </c>
      <c r="F571" t="s">
        <v>770</v>
      </c>
      <c r="G571">
        <v>0.5</v>
      </c>
      <c r="Q571" s="1"/>
      <c r="R571" s="1"/>
    </row>
    <row r="572" spans="1:18" ht="15.75" customHeight="1" x14ac:dyDescent="0.25">
      <c r="A572" s="2">
        <v>5443175</v>
      </c>
      <c r="B572">
        <v>5443175</v>
      </c>
      <c r="C572" t="str">
        <f t="shared" si="21"/>
        <v>Link</v>
      </c>
      <c r="D572" t="s">
        <v>767</v>
      </c>
      <c r="E572" s="17">
        <v>0.5</v>
      </c>
      <c r="F572" t="s">
        <v>771</v>
      </c>
      <c r="G572">
        <v>0.5</v>
      </c>
      <c r="Q572" s="1"/>
      <c r="R572" s="1"/>
    </row>
    <row r="573" spans="1:18" ht="15.75" customHeight="1" x14ac:dyDescent="0.25">
      <c r="A573" s="2">
        <v>5443175</v>
      </c>
      <c r="B573">
        <v>5443175</v>
      </c>
      <c r="C573" t="str">
        <f t="shared" si="21"/>
        <v>Link</v>
      </c>
      <c r="D573" t="s">
        <v>767</v>
      </c>
      <c r="E573" s="17">
        <v>0.5</v>
      </c>
      <c r="F573" t="s">
        <v>772</v>
      </c>
      <c r="G573">
        <v>0.5</v>
      </c>
      <c r="Q573" s="1"/>
      <c r="R573" s="1"/>
    </row>
    <row r="574" spans="1:18" ht="15.75" customHeight="1" x14ac:dyDescent="0.25">
      <c r="A574" s="2">
        <v>5443175</v>
      </c>
      <c r="B574">
        <v>5443175</v>
      </c>
      <c r="C574" t="str">
        <f t="shared" si="21"/>
        <v>Link</v>
      </c>
      <c r="D574" t="s">
        <v>767</v>
      </c>
      <c r="E574" s="17">
        <v>0.5</v>
      </c>
      <c r="F574" t="s">
        <v>773</v>
      </c>
      <c r="G574">
        <v>0.5</v>
      </c>
      <c r="Q574" s="1"/>
      <c r="R574" s="1"/>
    </row>
    <row r="575" spans="1:18" ht="15.75" customHeight="1" x14ac:dyDescent="0.25">
      <c r="A575" s="2">
        <v>5443176</v>
      </c>
      <c r="B575">
        <v>5443176</v>
      </c>
      <c r="C575" t="str">
        <f>HYPERLINK("https://ois.dk/map/5443176/sfe", "Link")</f>
        <v>Link</v>
      </c>
      <c r="D575" t="s">
        <v>774</v>
      </c>
      <c r="E575" s="17">
        <v>0.5</v>
      </c>
      <c r="F575" t="s">
        <v>775</v>
      </c>
      <c r="G575">
        <v>0.5</v>
      </c>
      <c r="Q575" s="1"/>
      <c r="R575" s="1"/>
    </row>
    <row r="576" spans="1:18" ht="15.75" customHeight="1" x14ac:dyDescent="0.25">
      <c r="A576" s="2">
        <v>5443176</v>
      </c>
      <c r="B576">
        <v>5443176</v>
      </c>
      <c r="C576" t="str">
        <f>HYPERLINK("https://ois.dk/map/5443176/sfe", "Link")</f>
        <v>Link</v>
      </c>
      <c r="D576" t="s">
        <v>774</v>
      </c>
      <c r="E576" s="17">
        <v>0.5</v>
      </c>
      <c r="F576" t="s">
        <v>776</v>
      </c>
      <c r="G576">
        <v>0.5</v>
      </c>
      <c r="Q576" s="1"/>
      <c r="R576" s="1"/>
    </row>
    <row r="577" spans="1:18" ht="15.75" customHeight="1" x14ac:dyDescent="0.25">
      <c r="A577" s="2">
        <v>5443176</v>
      </c>
      <c r="B577">
        <v>5443176</v>
      </c>
      <c r="C577" t="str">
        <f>HYPERLINK("https://ois.dk/map/5443176/sfe", "Link")</f>
        <v>Link</v>
      </c>
      <c r="D577" t="s">
        <v>774</v>
      </c>
      <c r="E577" s="17">
        <v>0.5</v>
      </c>
      <c r="F577" t="s">
        <v>777</v>
      </c>
      <c r="G577">
        <v>0.5</v>
      </c>
      <c r="Q577" s="1"/>
      <c r="R577" s="1"/>
    </row>
    <row r="578" spans="1:18" ht="15.75" customHeight="1" x14ac:dyDescent="0.25">
      <c r="A578" s="2">
        <v>5443177</v>
      </c>
      <c r="B578">
        <v>5443177</v>
      </c>
      <c r="C578" t="str">
        <f>HYPERLINK("https://ois.dk/map/5443177/sfe", "Link")</f>
        <v>Link</v>
      </c>
      <c r="D578" t="s">
        <v>778</v>
      </c>
      <c r="E578" s="17">
        <v>0.5</v>
      </c>
      <c r="F578" t="s">
        <v>779</v>
      </c>
      <c r="G578">
        <v>0.5</v>
      </c>
      <c r="Q578" s="1"/>
      <c r="R578" s="1"/>
    </row>
    <row r="579" spans="1:18" ht="15.75" customHeight="1" x14ac:dyDescent="0.25">
      <c r="A579" s="2">
        <v>5443177</v>
      </c>
      <c r="B579">
        <v>5443177</v>
      </c>
      <c r="C579" t="str">
        <f>HYPERLINK("https://ois.dk/map/5443177/sfe", "Link")</f>
        <v>Link</v>
      </c>
      <c r="D579" t="s">
        <v>778</v>
      </c>
      <c r="E579" s="17">
        <v>0.5</v>
      </c>
      <c r="F579" t="s">
        <v>780</v>
      </c>
      <c r="G579">
        <v>0.5</v>
      </c>
      <c r="Q579" s="1"/>
      <c r="R579" s="1"/>
    </row>
    <row r="580" spans="1:18" ht="15.75" customHeight="1" x14ac:dyDescent="0.25">
      <c r="A580" s="2">
        <v>5443178</v>
      </c>
      <c r="B580">
        <v>5443178</v>
      </c>
      <c r="C580" t="str">
        <f>HYPERLINK("https://ois.dk/map/5443178/sfe", "Link")</f>
        <v>Link</v>
      </c>
      <c r="D580" t="s">
        <v>781</v>
      </c>
      <c r="E580" s="17">
        <v>0.5</v>
      </c>
      <c r="F580" t="s">
        <v>782</v>
      </c>
      <c r="G580">
        <v>0.5</v>
      </c>
      <c r="Q580" s="1"/>
      <c r="R580" s="1"/>
    </row>
    <row r="581" spans="1:18" ht="15.75" customHeight="1" x14ac:dyDescent="0.25">
      <c r="A581" s="2">
        <v>5443178</v>
      </c>
      <c r="B581">
        <v>5443178</v>
      </c>
      <c r="C581" t="str">
        <f>HYPERLINK("https://ois.dk/map/5443178/sfe", "Link")</f>
        <v>Link</v>
      </c>
      <c r="D581" t="s">
        <v>781</v>
      </c>
      <c r="E581" s="17">
        <v>0.5</v>
      </c>
      <c r="F581" t="s">
        <v>783</v>
      </c>
      <c r="G581">
        <v>0.5</v>
      </c>
      <c r="Q581" s="1"/>
      <c r="R581" s="1"/>
    </row>
    <row r="582" spans="1:18" ht="15.75" customHeight="1" x14ac:dyDescent="0.25">
      <c r="A582" s="2">
        <v>5443178</v>
      </c>
      <c r="B582">
        <v>5443178</v>
      </c>
      <c r="C582" t="str">
        <f>HYPERLINK("https://ois.dk/map/5443178/sfe", "Link")</f>
        <v>Link</v>
      </c>
      <c r="D582" t="s">
        <v>781</v>
      </c>
      <c r="E582" s="17">
        <v>0.5</v>
      </c>
      <c r="F582" t="s">
        <v>784</v>
      </c>
      <c r="G582">
        <v>0.5</v>
      </c>
      <c r="Q582" s="1"/>
      <c r="R582" s="1"/>
    </row>
    <row r="583" spans="1:18" ht="15.75" customHeight="1" x14ac:dyDescent="0.25">
      <c r="A583" s="2">
        <v>5443179</v>
      </c>
      <c r="B583">
        <v>5443179</v>
      </c>
      <c r="C583" t="str">
        <f>HYPERLINK("https://ois.dk/map/5443179/sfe", "Link")</f>
        <v>Link</v>
      </c>
      <c r="D583" t="s">
        <v>785</v>
      </c>
      <c r="E583" s="17">
        <v>0.5</v>
      </c>
      <c r="F583" t="s">
        <v>786</v>
      </c>
      <c r="G583">
        <v>0.5</v>
      </c>
      <c r="Q583" s="1"/>
      <c r="R583" s="1"/>
    </row>
    <row r="584" spans="1:18" ht="15.75" customHeight="1" x14ac:dyDescent="0.25">
      <c r="A584" s="2">
        <v>5443180</v>
      </c>
      <c r="B584">
        <v>5443180</v>
      </c>
      <c r="C584" t="str">
        <f>HYPERLINK("https://ois.dk/map/5443180/sfe", "Link")</f>
        <v>Link</v>
      </c>
      <c r="D584" t="s">
        <v>787</v>
      </c>
      <c r="E584" s="17">
        <v>0.5</v>
      </c>
      <c r="F584" t="s">
        <v>788</v>
      </c>
      <c r="G584">
        <v>0.5</v>
      </c>
      <c r="Q584" s="1"/>
      <c r="R584" s="1"/>
    </row>
    <row r="585" spans="1:18" ht="15.75" customHeight="1" x14ac:dyDescent="0.25">
      <c r="A585" s="2">
        <v>5443180</v>
      </c>
      <c r="B585">
        <v>5443180</v>
      </c>
      <c r="C585" t="str">
        <f>HYPERLINK("https://ois.dk/map/5443180/sfe", "Link")</f>
        <v>Link</v>
      </c>
      <c r="D585" t="s">
        <v>787</v>
      </c>
      <c r="E585" s="17">
        <v>0.5</v>
      </c>
      <c r="F585" t="s">
        <v>789</v>
      </c>
      <c r="G585">
        <v>0.5</v>
      </c>
      <c r="Q585" s="1"/>
      <c r="R585" s="1"/>
    </row>
    <row r="586" spans="1:18" ht="15.75" customHeight="1" x14ac:dyDescent="0.25">
      <c r="A586" s="2">
        <v>5443181</v>
      </c>
      <c r="B586">
        <v>5443181</v>
      </c>
      <c r="C586" t="str">
        <f t="shared" ref="C586:C592" si="22">HYPERLINK("https://ois.dk/map/5443181/sfe", "Link")</f>
        <v>Link</v>
      </c>
      <c r="D586" t="s">
        <v>790</v>
      </c>
      <c r="E586" s="17">
        <v>0.5</v>
      </c>
      <c r="F586" t="s">
        <v>791</v>
      </c>
      <c r="G586">
        <v>0.5</v>
      </c>
      <c r="Q586" s="1"/>
      <c r="R586" s="1"/>
    </row>
    <row r="587" spans="1:18" ht="15.75" customHeight="1" x14ac:dyDescent="0.25">
      <c r="A587" s="2">
        <v>5443181</v>
      </c>
      <c r="B587">
        <v>5443181</v>
      </c>
      <c r="C587" t="str">
        <f t="shared" si="22"/>
        <v>Link</v>
      </c>
      <c r="D587" t="s">
        <v>790</v>
      </c>
      <c r="E587" s="17">
        <v>0.5</v>
      </c>
      <c r="F587" t="s">
        <v>792</v>
      </c>
      <c r="G587">
        <v>0.5</v>
      </c>
      <c r="Q587" s="1"/>
      <c r="R587" s="1"/>
    </row>
    <row r="588" spans="1:18" ht="15.75" customHeight="1" x14ac:dyDescent="0.25">
      <c r="A588" s="2">
        <v>5443181</v>
      </c>
      <c r="B588">
        <v>5443181</v>
      </c>
      <c r="C588" t="str">
        <f t="shared" si="22"/>
        <v>Link</v>
      </c>
      <c r="D588" t="s">
        <v>790</v>
      </c>
      <c r="E588" s="17">
        <v>0.5</v>
      </c>
      <c r="F588" t="s">
        <v>793</v>
      </c>
      <c r="G588">
        <v>0.5</v>
      </c>
      <c r="Q588" s="1"/>
      <c r="R588" s="1"/>
    </row>
    <row r="589" spans="1:18" ht="15.75" customHeight="1" x14ac:dyDescent="0.25">
      <c r="A589" s="2">
        <v>5443181</v>
      </c>
      <c r="B589">
        <v>5443181</v>
      </c>
      <c r="C589" t="str">
        <f t="shared" si="22"/>
        <v>Link</v>
      </c>
      <c r="D589" t="s">
        <v>790</v>
      </c>
      <c r="E589" s="17">
        <v>0.5</v>
      </c>
      <c r="F589" t="s">
        <v>794</v>
      </c>
      <c r="G589">
        <v>0.5</v>
      </c>
      <c r="Q589" s="1"/>
      <c r="R589" s="1"/>
    </row>
    <row r="590" spans="1:18" ht="15.75" customHeight="1" x14ac:dyDescent="0.25">
      <c r="A590" s="2">
        <v>5443181</v>
      </c>
      <c r="B590">
        <v>5443181</v>
      </c>
      <c r="C590" t="str">
        <f t="shared" si="22"/>
        <v>Link</v>
      </c>
      <c r="D590" t="s">
        <v>790</v>
      </c>
      <c r="E590" s="17">
        <v>0.5</v>
      </c>
      <c r="F590" t="s">
        <v>795</v>
      </c>
      <c r="G590">
        <v>0.5</v>
      </c>
      <c r="Q590" s="1"/>
      <c r="R590" s="1"/>
    </row>
    <row r="591" spans="1:18" ht="15.75" customHeight="1" x14ac:dyDescent="0.25">
      <c r="A591" s="2">
        <v>5443181</v>
      </c>
      <c r="B591">
        <v>5443181</v>
      </c>
      <c r="C591" t="str">
        <f t="shared" si="22"/>
        <v>Link</v>
      </c>
      <c r="D591" t="s">
        <v>790</v>
      </c>
      <c r="E591" s="17">
        <v>0.5</v>
      </c>
      <c r="F591" t="s">
        <v>796</v>
      </c>
      <c r="G591">
        <v>0.5</v>
      </c>
      <c r="Q591" s="1"/>
      <c r="R591" s="1"/>
    </row>
    <row r="592" spans="1:18" ht="15.75" customHeight="1" x14ac:dyDescent="0.25">
      <c r="A592" s="2">
        <v>5443181</v>
      </c>
      <c r="B592">
        <v>5443181</v>
      </c>
      <c r="C592" t="str">
        <f t="shared" si="22"/>
        <v>Link</v>
      </c>
      <c r="D592" t="s">
        <v>790</v>
      </c>
      <c r="E592" s="17">
        <v>0.5</v>
      </c>
      <c r="F592" t="s">
        <v>797</v>
      </c>
      <c r="G592">
        <v>0.5</v>
      </c>
      <c r="Q592" s="1"/>
      <c r="R592" s="1"/>
    </row>
    <row r="593" spans="1:18" ht="15.75" customHeight="1" x14ac:dyDescent="0.25">
      <c r="A593" s="2">
        <v>5443182</v>
      </c>
      <c r="B593">
        <v>5443182</v>
      </c>
      <c r="C593" t="str">
        <f>HYPERLINK("https://ois.dk/map/5443182/sfe", "Link")</f>
        <v>Link</v>
      </c>
      <c r="D593" t="s">
        <v>798</v>
      </c>
      <c r="E593" s="17">
        <v>0.5</v>
      </c>
      <c r="F593" t="s">
        <v>799</v>
      </c>
      <c r="G593">
        <v>0.5</v>
      </c>
      <c r="Q593" s="1"/>
      <c r="R593" s="1"/>
    </row>
    <row r="594" spans="1:18" ht="15.75" customHeight="1" x14ac:dyDescent="0.25">
      <c r="A594" s="2">
        <v>5443183</v>
      </c>
      <c r="B594">
        <v>5443183</v>
      </c>
      <c r="C594" t="str">
        <f>HYPERLINK("https://ois.dk/map/5443183/sfe", "Link")</f>
        <v>Link</v>
      </c>
      <c r="D594" t="s">
        <v>800</v>
      </c>
      <c r="E594" s="17">
        <v>0.5</v>
      </c>
      <c r="F594" t="s">
        <v>801</v>
      </c>
      <c r="G594">
        <v>0.5</v>
      </c>
      <c r="Q594" s="1"/>
      <c r="R594" s="1"/>
    </row>
    <row r="595" spans="1:18" ht="15.75" customHeight="1" x14ac:dyDescent="0.25">
      <c r="A595" s="2">
        <v>5443184</v>
      </c>
      <c r="B595">
        <v>5443184</v>
      </c>
      <c r="C595" t="str">
        <f t="shared" ref="C595:C601" si="23">HYPERLINK("https://ois.dk/map/5443184/sfe", "Link")</f>
        <v>Link</v>
      </c>
      <c r="D595" t="s">
        <v>802</v>
      </c>
      <c r="E595" s="17">
        <v>0.5</v>
      </c>
      <c r="F595" t="s">
        <v>803</v>
      </c>
      <c r="G595">
        <v>0.5</v>
      </c>
      <c r="Q595" s="1"/>
      <c r="R595" s="1"/>
    </row>
    <row r="596" spans="1:18" ht="15.75" customHeight="1" x14ac:dyDescent="0.25">
      <c r="A596" s="2">
        <v>5443184</v>
      </c>
      <c r="B596">
        <v>5443184</v>
      </c>
      <c r="C596" t="str">
        <f t="shared" si="23"/>
        <v>Link</v>
      </c>
      <c r="D596" t="s">
        <v>802</v>
      </c>
      <c r="E596" s="17">
        <v>0.5</v>
      </c>
      <c r="F596" t="s">
        <v>804</v>
      </c>
      <c r="G596">
        <v>0.5</v>
      </c>
      <c r="Q596" s="1"/>
      <c r="R596" s="1"/>
    </row>
    <row r="597" spans="1:18" ht="15.75" customHeight="1" x14ac:dyDescent="0.25">
      <c r="A597" s="2">
        <v>5443184</v>
      </c>
      <c r="B597">
        <v>5443184</v>
      </c>
      <c r="C597" t="str">
        <f t="shared" si="23"/>
        <v>Link</v>
      </c>
      <c r="D597" t="s">
        <v>802</v>
      </c>
      <c r="E597" s="17">
        <v>0.5</v>
      </c>
      <c r="F597" t="s">
        <v>805</v>
      </c>
      <c r="G597">
        <v>0.5</v>
      </c>
      <c r="Q597" s="1"/>
      <c r="R597" s="1"/>
    </row>
    <row r="598" spans="1:18" ht="15.75" customHeight="1" x14ac:dyDescent="0.25">
      <c r="A598" s="2">
        <v>5443184</v>
      </c>
      <c r="B598">
        <v>5443184</v>
      </c>
      <c r="C598" t="str">
        <f t="shared" si="23"/>
        <v>Link</v>
      </c>
      <c r="D598" t="s">
        <v>802</v>
      </c>
      <c r="E598" s="17">
        <v>0.5</v>
      </c>
      <c r="F598" t="s">
        <v>806</v>
      </c>
      <c r="G598">
        <v>0.5</v>
      </c>
      <c r="Q598" s="1"/>
      <c r="R598" s="1"/>
    </row>
    <row r="599" spans="1:18" ht="15.75" customHeight="1" x14ac:dyDescent="0.25">
      <c r="A599" s="2">
        <v>5443184</v>
      </c>
      <c r="B599">
        <v>5443184</v>
      </c>
      <c r="C599" t="str">
        <f t="shared" si="23"/>
        <v>Link</v>
      </c>
      <c r="D599" t="s">
        <v>802</v>
      </c>
      <c r="E599" s="17">
        <v>0.5</v>
      </c>
      <c r="F599" t="s">
        <v>807</v>
      </c>
      <c r="G599">
        <v>0.5</v>
      </c>
      <c r="Q599" s="1"/>
      <c r="R599" s="1"/>
    </row>
    <row r="600" spans="1:18" ht="15.75" customHeight="1" x14ac:dyDescent="0.25">
      <c r="A600" s="2">
        <v>5443184</v>
      </c>
      <c r="B600">
        <v>5443184</v>
      </c>
      <c r="C600" t="str">
        <f t="shared" si="23"/>
        <v>Link</v>
      </c>
      <c r="D600" t="s">
        <v>802</v>
      </c>
      <c r="E600" s="17">
        <v>0.5</v>
      </c>
      <c r="F600" t="s">
        <v>808</v>
      </c>
      <c r="G600">
        <v>0.5</v>
      </c>
      <c r="Q600" s="1"/>
      <c r="R600" s="1"/>
    </row>
    <row r="601" spans="1:18" ht="15.75" customHeight="1" x14ac:dyDescent="0.25">
      <c r="A601" s="2">
        <v>5443184</v>
      </c>
      <c r="B601">
        <v>5443184</v>
      </c>
      <c r="C601" t="str">
        <f t="shared" si="23"/>
        <v>Link</v>
      </c>
      <c r="D601" t="s">
        <v>802</v>
      </c>
      <c r="E601" s="17">
        <v>0.5</v>
      </c>
      <c r="F601" t="s">
        <v>809</v>
      </c>
      <c r="G601">
        <v>0.5</v>
      </c>
      <c r="Q601" s="1"/>
      <c r="R601" s="1"/>
    </row>
    <row r="602" spans="1:18" ht="15.75" customHeight="1" x14ac:dyDescent="0.25">
      <c r="A602" s="2">
        <v>5443185</v>
      </c>
      <c r="B602">
        <v>5443185</v>
      </c>
      <c r="C602" t="str">
        <f>HYPERLINK("https://ois.dk/map/5443185/sfe", "Link")</f>
        <v>Link</v>
      </c>
      <c r="D602" t="s">
        <v>810</v>
      </c>
      <c r="E602" s="17">
        <v>0.5</v>
      </c>
      <c r="F602" t="s">
        <v>811</v>
      </c>
      <c r="G602">
        <v>0.5</v>
      </c>
      <c r="Q602" s="1"/>
      <c r="R602" s="1"/>
    </row>
    <row r="603" spans="1:18" ht="15.75" customHeight="1" x14ac:dyDescent="0.25">
      <c r="A603" s="2">
        <v>5443186</v>
      </c>
      <c r="B603">
        <v>5443186</v>
      </c>
      <c r="C603" t="str">
        <f>HYPERLINK("https://ois.dk/map/5443186/sfe", "Link")</f>
        <v>Link</v>
      </c>
      <c r="D603" t="s">
        <v>812</v>
      </c>
      <c r="E603" s="17">
        <v>0.5</v>
      </c>
      <c r="G603">
        <v>0.5</v>
      </c>
      <c r="Q603" s="1"/>
      <c r="R603" s="1"/>
    </row>
    <row r="604" spans="1:18" ht="15.75" customHeight="1" x14ac:dyDescent="0.25">
      <c r="A604" s="2">
        <v>5443187</v>
      </c>
      <c r="B604">
        <v>5443187</v>
      </c>
      <c r="C604" t="str">
        <f>HYPERLINK("https://ois.dk/map/5443187/sfe", "Link")</f>
        <v>Link</v>
      </c>
      <c r="D604" t="s">
        <v>813</v>
      </c>
      <c r="E604" s="17">
        <v>0.5</v>
      </c>
      <c r="F604" t="s">
        <v>814</v>
      </c>
      <c r="G604">
        <v>0.5</v>
      </c>
      <c r="Q604" s="1"/>
      <c r="R604" s="1"/>
    </row>
    <row r="605" spans="1:18" ht="15.75" customHeight="1" x14ac:dyDescent="0.25">
      <c r="A605" s="2">
        <v>5443187</v>
      </c>
      <c r="B605">
        <v>5443187</v>
      </c>
      <c r="C605" t="str">
        <f>HYPERLINK("https://ois.dk/map/5443187/sfe", "Link")</f>
        <v>Link</v>
      </c>
      <c r="D605" t="s">
        <v>813</v>
      </c>
      <c r="E605" s="17">
        <v>0.5</v>
      </c>
      <c r="F605" t="s">
        <v>814</v>
      </c>
      <c r="G605">
        <v>0.5</v>
      </c>
      <c r="Q605" s="1"/>
      <c r="R605" s="1"/>
    </row>
    <row r="606" spans="1:18" ht="15.75" customHeight="1" x14ac:dyDescent="0.25">
      <c r="A606" s="2">
        <v>5443188</v>
      </c>
      <c r="B606">
        <v>5443188</v>
      </c>
      <c r="C606" t="str">
        <f>HYPERLINK("https://ois.dk/map/5443188/sfe", "Link")</f>
        <v>Link</v>
      </c>
      <c r="D606" t="s">
        <v>815</v>
      </c>
      <c r="E606" s="17">
        <v>0.5</v>
      </c>
      <c r="F606" t="s">
        <v>816</v>
      </c>
      <c r="G606">
        <v>0.5</v>
      </c>
      <c r="Q606" s="1"/>
      <c r="R606" s="1"/>
    </row>
    <row r="607" spans="1:18" ht="15.75" customHeight="1" x14ac:dyDescent="0.25">
      <c r="A607" s="2">
        <v>5443189</v>
      </c>
      <c r="B607">
        <v>5443189</v>
      </c>
      <c r="C607" t="str">
        <f>HYPERLINK("https://ois.dk/map/5443189/sfe", "Link")</f>
        <v>Link</v>
      </c>
      <c r="D607" t="s">
        <v>817</v>
      </c>
      <c r="E607" s="17">
        <v>0.5</v>
      </c>
      <c r="F607" t="s">
        <v>818</v>
      </c>
      <c r="G607">
        <v>0.5</v>
      </c>
      <c r="Q607" s="1"/>
      <c r="R607" s="1"/>
    </row>
    <row r="608" spans="1:18" ht="15.75" customHeight="1" x14ac:dyDescent="0.25">
      <c r="A608" s="2">
        <v>5443189</v>
      </c>
      <c r="B608">
        <v>5443189</v>
      </c>
      <c r="C608" t="str">
        <f>HYPERLINK("https://ois.dk/map/5443189/sfe", "Link")</f>
        <v>Link</v>
      </c>
      <c r="D608" t="s">
        <v>817</v>
      </c>
      <c r="E608" s="17">
        <v>0.5</v>
      </c>
      <c r="F608" t="s">
        <v>819</v>
      </c>
      <c r="G608">
        <v>0.5</v>
      </c>
      <c r="Q608" s="1"/>
      <c r="R608" s="1"/>
    </row>
    <row r="609" spans="1:18" ht="15.75" customHeight="1" x14ac:dyDescent="0.25">
      <c r="A609" s="2">
        <v>5443190</v>
      </c>
      <c r="B609">
        <v>286822</v>
      </c>
      <c r="C609" t="str">
        <f>HYPERLINK("https://ois.dk/map/286822/sfe", "Link")</f>
        <v>Link</v>
      </c>
      <c r="D609" t="s">
        <v>820</v>
      </c>
      <c r="E609" s="17">
        <v>0.5</v>
      </c>
      <c r="F609" t="s">
        <v>821</v>
      </c>
      <c r="G609">
        <v>0.5</v>
      </c>
      <c r="Q609" s="1"/>
      <c r="R609" s="1"/>
    </row>
    <row r="610" spans="1:18" ht="15.75" customHeight="1" x14ac:dyDescent="0.25">
      <c r="A610" s="2">
        <v>5443190</v>
      </c>
      <c r="B610">
        <v>286823</v>
      </c>
      <c r="C610" t="str">
        <f>HYPERLINK("https://ois.dk/map/286823/sfe", "Link")</f>
        <v>Link</v>
      </c>
      <c r="D610" t="s">
        <v>820</v>
      </c>
      <c r="E610" s="17">
        <v>0.5</v>
      </c>
      <c r="F610" t="s">
        <v>822</v>
      </c>
      <c r="G610">
        <v>0.5</v>
      </c>
      <c r="Q610" s="1"/>
      <c r="R610" s="1"/>
    </row>
    <row r="611" spans="1:18" ht="15.75" customHeight="1" x14ac:dyDescent="0.25">
      <c r="A611" s="2">
        <v>5443194</v>
      </c>
      <c r="B611">
        <v>5443194</v>
      </c>
      <c r="C611" t="str">
        <f>HYPERLINK("https://ois.dk/map/5443194/sfe", "Link")</f>
        <v>Link</v>
      </c>
      <c r="D611" t="s">
        <v>823</v>
      </c>
      <c r="E611" s="17">
        <v>0.5</v>
      </c>
      <c r="F611" t="s">
        <v>824</v>
      </c>
      <c r="G611">
        <v>0.5</v>
      </c>
      <c r="Q611" s="1"/>
      <c r="R611" s="1"/>
    </row>
    <row r="612" spans="1:18" ht="15.75" customHeight="1" x14ac:dyDescent="0.25">
      <c r="A612" s="2">
        <v>5443194</v>
      </c>
      <c r="B612">
        <v>5443194</v>
      </c>
      <c r="C612" t="str">
        <f>HYPERLINK("https://ois.dk/map/5443194/sfe", "Link")</f>
        <v>Link</v>
      </c>
      <c r="D612" t="s">
        <v>823</v>
      </c>
      <c r="E612" s="17">
        <v>0.5</v>
      </c>
      <c r="F612" t="s">
        <v>825</v>
      </c>
      <c r="G612">
        <v>0.5</v>
      </c>
      <c r="Q612" s="1"/>
      <c r="R612" s="1"/>
    </row>
    <row r="613" spans="1:18" ht="15.75" customHeight="1" x14ac:dyDescent="0.25">
      <c r="A613" s="2">
        <v>5443197</v>
      </c>
      <c r="B613">
        <v>5443197</v>
      </c>
      <c r="C613" t="str">
        <f>HYPERLINK("https://ois.dk/map/5443197/sfe", "Link")</f>
        <v>Link</v>
      </c>
      <c r="D613" t="s">
        <v>826</v>
      </c>
      <c r="E613" s="17">
        <v>0.5</v>
      </c>
      <c r="F613" t="s">
        <v>827</v>
      </c>
      <c r="G613">
        <v>0.5</v>
      </c>
      <c r="Q613" s="1"/>
      <c r="R613" s="1"/>
    </row>
    <row r="614" spans="1:18" ht="15.75" customHeight="1" x14ac:dyDescent="0.25">
      <c r="A614" s="2">
        <v>5443197</v>
      </c>
      <c r="B614">
        <v>5443197</v>
      </c>
      <c r="C614" t="str">
        <f>HYPERLINK("https://ois.dk/map/5443197/sfe", "Link")</f>
        <v>Link</v>
      </c>
      <c r="D614" t="s">
        <v>826</v>
      </c>
      <c r="E614" s="17">
        <v>0.5</v>
      </c>
      <c r="F614" t="s">
        <v>828</v>
      </c>
      <c r="G614">
        <v>0.5</v>
      </c>
      <c r="Q614" s="1"/>
      <c r="R614" s="1"/>
    </row>
    <row r="615" spans="1:18" ht="15.75" customHeight="1" x14ac:dyDescent="0.25">
      <c r="A615" s="2">
        <v>5443198</v>
      </c>
      <c r="B615">
        <v>5443198</v>
      </c>
      <c r="C615" t="str">
        <f>HYPERLINK("https://ois.dk/map/5443198/sfe", "Link")</f>
        <v>Link</v>
      </c>
      <c r="D615" t="s">
        <v>829</v>
      </c>
      <c r="E615" s="17">
        <v>0.5</v>
      </c>
      <c r="F615" t="s">
        <v>830</v>
      </c>
      <c r="G615">
        <v>0.5</v>
      </c>
      <c r="Q615" s="1"/>
      <c r="R615" s="1"/>
    </row>
    <row r="616" spans="1:18" ht="15.75" customHeight="1" x14ac:dyDescent="0.25">
      <c r="A616" s="2">
        <v>5443198</v>
      </c>
      <c r="B616">
        <v>5443198</v>
      </c>
      <c r="C616" t="str">
        <f>HYPERLINK("https://ois.dk/map/5443198/sfe", "Link")</f>
        <v>Link</v>
      </c>
      <c r="D616" t="s">
        <v>829</v>
      </c>
      <c r="E616" s="17">
        <v>0.5</v>
      </c>
      <c r="F616" t="s">
        <v>831</v>
      </c>
      <c r="G616">
        <v>0.5</v>
      </c>
      <c r="Q616" s="1"/>
      <c r="R616" s="1"/>
    </row>
    <row r="617" spans="1:18" ht="15.75" customHeight="1" x14ac:dyDescent="0.25">
      <c r="A617" s="2">
        <v>5443198</v>
      </c>
      <c r="B617">
        <v>5443198</v>
      </c>
      <c r="C617" t="str">
        <f>HYPERLINK("https://ois.dk/map/5443198/sfe", "Link")</f>
        <v>Link</v>
      </c>
      <c r="D617" t="s">
        <v>829</v>
      </c>
      <c r="E617" s="17">
        <v>0.5</v>
      </c>
      <c r="F617" t="s">
        <v>831</v>
      </c>
      <c r="G617">
        <v>0.5</v>
      </c>
      <c r="Q617" s="1"/>
      <c r="R617" s="1"/>
    </row>
    <row r="618" spans="1:18" ht="15.75" customHeight="1" x14ac:dyDescent="0.25">
      <c r="A618" s="2">
        <v>5443200</v>
      </c>
      <c r="B618">
        <v>5443200</v>
      </c>
      <c r="C618" t="str">
        <f>HYPERLINK("https://ois.dk/map/5443200/sfe", "Link")</f>
        <v>Link</v>
      </c>
      <c r="D618" t="s">
        <v>832</v>
      </c>
      <c r="E618" s="17">
        <v>0.5</v>
      </c>
      <c r="F618" t="s">
        <v>833</v>
      </c>
      <c r="G618">
        <v>0.5</v>
      </c>
      <c r="Q618" s="1"/>
      <c r="R618" s="1"/>
    </row>
    <row r="619" spans="1:18" ht="15.75" customHeight="1" x14ac:dyDescent="0.25">
      <c r="A619" s="2">
        <v>5443200</v>
      </c>
      <c r="B619">
        <v>5443200</v>
      </c>
      <c r="C619" t="str">
        <f>HYPERLINK("https://ois.dk/map/5443200/sfe", "Link")</f>
        <v>Link</v>
      </c>
      <c r="D619" t="s">
        <v>832</v>
      </c>
      <c r="E619" s="17">
        <v>0.5</v>
      </c>
      <c r="F619" t="s">
        <v>834</v>
      </c>
      <c r="G619">
        <v>0.5</v>
      </c>
      <c r="Q619" s="1"/>
      <c r="R619" s="1"/>
    </row>
    <row r="620" spans="1:18" ht="15.75" customHeight="1" x14ac:dyDescent="0.25">
      <c r="A620" s="2">
        <v>5443200</v>
      </c>
      <c r="B620">
        <v>5443200</v>
      </c>
      <c r="C620" t="str">
        <f>HYPERLINK("https://ois.dk/map/5443200/sfe", "Link")</f>
        <v>Link</v>
      </c>
      <c r="D620" t="s">
        <v>832</v>
      </c>
      <c r="E620" s="17">
        <v>0.5</v>
      </c>
      <c r="F620" t="s">
        <v>835</v>
      </c>
      <c r="G620">
        <v>0.5</v>
      </c>
      <c r="Q620" s="1"/>
      <c r="R620" s="1"/>
    </row>
    <row r="621" spans="1:18" ht="15.75" customHeight="1" x14ac:dyDescent="0.25">
      <c r="A621" s="2">
        <v>5443202</v>
      </c>
      <c r="B621">
        <v>5443202</v>
      </c>
      <c r="C621" t="str">
        <f>HYPERLINK("https://ois.dk/map/5443202/sfe", "Link")</f>
        <v>Link</v>
      </c>
      <c r="D621" t="s">
        <v>836</v>
      </c>
      <c r="E621" s="17">
        <v>0.5</v>
      </c>
      <c r="G621">
        <v>0.5</v>
      </c>
      <c r="Q621" s="1"/>
      <c r="R621" s="1"/>
    </row>
    <row r="622" spans="1:18" ht="15.75" customHeight="1" x14ac:dyDescent="0.25">
      <c r="A622" s="2">
        <v>5443204</v>
      </c>
      <c r="B622">
        <v>5443204</v>
      </c>
      <c r="C622" t="str">
        <f>HYPERLINK("https://ois.dk/map/5443204/sfe", "Link")</f>
        <v>Link</v>
      </c>
      <c r="D622" t="s">
        <v>837</v>
      </c>
      <c r="E622" s="17">
        <v>0.5</v>
      </c>
      <c r="F622" t="s">
        <v>838</v>
      </c>
      <c r="G622">
        <v>0.5</v>
      </c>
      <c r="Q622" s="1"/>
      <c r="R622" s="1"/>
    </row>
    <row r="623" spans="1:18" ht="15.75" customHeight="1" x14ac:dyDescent="0.25">
      <c r="A623" s="2">
        <v>5443204</v>
      </c>
      <c r="B623">
        <v>5443204</v>
      </c>
      <c r="C623" t="str">
        <f>HYPERLINK("https://ois.dk/map/5443204/sfe", "Link")</f>
        <v>Link</v>
      </c>
      <c r="D623" t="s">
        <v>837</v>
      </c>
      <c r="E623" s="17">
        <v>0.5</v>
      </c>
      <c r="F623" t="s">
        <v>839</v>
      </c>
      <c r="G623">
        <v>0.5</v>
      </c>
      <c r="Q623" s="1"/>
      <c r="R623" s="1"/>
    </row>
    <row r="624" spans="1:18" ht="15.75" customHeight="1" x14ac:dyDescent="0.25">
      <c r="A624" s="2">
        <v>5443208</v>
      </c>
      <c r="B624">
        <v>5443208</v>
      </c>
      <c r="C624" t="str">
        <f>HYPERLINK("https://ois.dk/map/5443208/sfe", "Link")</f>
        <v>Link</v>
      </c>
      <c r="D624" t="s">
        <v>840</v>
      </c>
      <c r="E624" s="17">
        <v>0.5</v>
      </c>
      <c r="F624" t="s">
        <v>841</v>
      </c>
      <c r="G624">
        <v>0.5</v>
      </c>
      <c r="Q624" s="1"/>
      <c r="R624" s="1"/>
    </row>
    <row r="625" spans="1:18" ht="15.75" customHeight="1" x14ac:dyDescent="0.25">
      <c r="A625" s="2">
        <v>5443208</v>
      </c>
      <c r="B625">
        <v>5443208</v>
      </c>
      <c r="C625" t="str">
        <f>HYPERLINK("https://ois.dk/map/5443208/sfe", "Link")</f>
        <v>Link</v>
      </c>
      <c r="D625" t="s">
        <v>840</v>
      </c>
      <c r="E625" s="17">
        <v>0.5</v>
      </c>
      <c r="F625" t="s">
        <v>842</v>
      </c>
      <c r="G625">
        <v>0.5</v>
      </c>
      <c r="Q625" s="1"/>
      <c r="R625" s="1"/>
    </row>
    <row r="626" spans="1:18" ht="15.75" customHeight="1" x14ac:dyDescent="0.25">
      <c r="A626" s="2">
        <v>5443210</v>
      </c>
      <c r="B626">
        <v>5443210</v>
      </c>
      <c r="C626" t="str">
        <f>HYPERLINK("https://ois.dk/map/5443210/sfe", "Link")</f>
        <v>Link</v>
      </c>
      <c r="D626" t="s">
        <v>843</v>
      </c>
      <c r="E626" s="17">
        <v>0.5</v>
      </c>
      <c r="F626" t="s">
        <v>844</v>
      </c>
      <c r="G626">
        <v>0.5</v>
      </c>
      <c r="Q626" s="1"/>
      <c r="R626" s="1"/>
    </row>
    <row r="627" spans="1:18" ht="15.75" customHeight="1" x14ac:dyDescent="0.25">
      <c r="A627" s="2">
        <v>5443211</v>
      </c>
      <c r="B627">
        <v>5443211</v>
      </c>
      <c r="C627" t="str">
        <f>HYPERLINK("https://ois.dk/map/5443211/sfe", "Link")</f>
        <v>Link</v>
      </c>
      <c r="D627" t="s">
        <v>845</v>
      </c>
      <c r="E627" s="17">
        <v>0.5</v>
      </c>
      <c r="F627" t="s">
        <v>846</v>
      </c>
      <c r="G627">
        <v>0.5</v>
      </c>
      <c r="Q627" s="1"/>
      <c r="R627" s="1"/>
    </row>
    <row r="628" spans="1:18" ht="15.75" customHeight="1" x14ac:dyDescent="0.25">
      <c r="A628" s="2">
        <v>5443211</v>
      </c>
      <c r="B628">
        <v>5443211</v>
      </c>
      <c r="C628" t="str">
        <f>HYPERLINK("https://ois.dk/map/5443211/sfe", "Link")</f>
        <v>Link</v>
      </c>
      <c r="D628" t="s">
        <v>845</v>
      </c>
      <c r="E628" s="17">
        <v>0.5</v>
      </c>
      <c r="F628" t="s">
        <v>847</v>
      </c>
      <c r="G628">
        <v>0.5</v>
      </c>
      <c r="Q628" s="1"/>
      <c r="R628" s="1"/>
    </row>
    <row r="629" spans="1:18" ht="15.75" customHeight="1" x14ac:dyDescent="0.25">
      <c r="A629" s="2">
        <v>5443211</v>
      </c>
      <c r="B629">
        <v>5443211</v>
      </c>
      <c r="C629" t="str">
        <f>HYPERLINK("https://ois.dk/map/5443211/sfe", "Link")</f>
        <v>Link</v>
      </c>
      <c r="D629" t="s">
        <v>845</v>
      </c>
      <c r="E629" s="17">
        <v>0.5</v>
      </c>
      <c r="F629" t="s">
        <v>848</v>
      </c>
      <c r="G629">
        <v>0.5</v>
      </c>
      <c r="Q629" s="1"/>
      <c r="R629" s="1"/>
    </row>
    <row r="630" spans="1:18" ht="15.75" customHeight="1" x14ac:dyDescent="0.25">
      <c r="A630" s="2">
        <v>5443212</v>
      </c>
      <c r="B630">
        <v>5443212</v>
      </c>
      <c r="C630" t="str">
        <f>HYPERLINK("https://ois.dk/map/5443212/sfe", "Link")</f>
        <v>Link</v>
      </c>
      <c r="D630" t="s">
        <v>849</v>
      </c>
      <c r="E630" s="17">
        <v>0.5</v>
      </c>
      <c r="F630" t="s">
        <v>850</v>
      </c>
      <c r="G630">
        <v>0.5</v>
      </c>
      <c r="Q630" s="1"/>
      <c r="R630" s="1"/>
    </row>
    <row r="631" spans="1:18" ht="15.75" customHeight="1" x14ac:dyDescent="0.25">
      <c r="A631" s="2">
        <v>5443212</v>
      </c>
      <c r="B631">
        <v>5443212</v>
      </c>
      <c r="C631" t="str">
        <f>HYPERLINK("https://ois.dk/map/5443212/sfe", "Link")</f>
        <v>Link</v>
      </c>
      <c r="D631" t="s">
        <v>849</v>
      </c>
      <c r="E631" s="17">
        <v>0.5</v>
      </c>
      <c r="F631" t="s">
        <v>851</v>
      </c>
      <c r="G631">
        <v>0.5</v>
      </c>
      <c r="Q631" s="1"/>
      <c r="R631" s="1"/>
    </row>
    <row r="632" spans="1:18" ht="15.75" customHeight="1" x14ac:dyDescent="0.25">
      <c r="A632" s="2">
        <v>5443212</v>
      </c>
      <c r="B632">
        <v>5443212</v>
      </c>
      <c r="C632" t="str">
        <f>HYPERLINK("https://ois.dk/map/5443212/sfe", "Link")</f>
        <v>Link</v>
      </c>
      <c r="D632" t="s">
        <v>849</v>
      </c>
      <c r="E632" s="17">
        <v>0.5</v>
      </c>
      <c r="F632" t="s">
        <v>852</v>
      </c>
      <c r="G632">
        <v>0.5</v>
      </c>
      <c r="Q632" s="1"/>
      <c r="R632" s="1"/>
    </row>
    <row r="633" spans="1:18" ht="15.75" customHeight="1" x14ac:dyDescent="0.25">
      <c r="A633" s="2">
        <v>5443212</v>
      </c>
      <c r="B633">
        <v>5443212</v>
      </c>
      <c r="C633" t="str">
        <f>HYPERLINK("https://ois.dk/map/5443212/sfe", "Link")</f>
        <v>Link</v>
      </c>
      <c r="D633" t="s">
        <v>849</v>
      </c>
      <c r="E633" s="17">
        <v>0.5</v>
      </c>
      <c r="F633" t="s">
        <v>853</v>
      </c>
      <c r="G633">
        <v>0.5</v>
      </c>
      <c r="Q633" s="1"/>
      <c r="R633" s="1"/>
    </row>
    <row r="634" spans="1:18" ht="15.75" customHeight="1" x14ac:dyDescent="0.25">
      <c r="A634" s="2">
        <v>5443213</v>
      </c>
      <c r="B634">
        <v>5443213</v>
      </c>
      <c r="C634" t="str">
        <f>HYPERLINK("https://ois.dk/map/5443213/sfe", "Link")</f>
        <v>Link</v>
      </c>
      <c r="D634" t="s">
        <v>854</v>
      </c>
      <c r="E634" s="17">
        <v>0.5</v>
      </c>
      <c r="F634" t="s">
        <v>855</v>
      </c>
      <c r="G634">
        <v>0.5</v>
      </c>
      <c r="Q634" s="1"/>
      <c r="R634" s="1"/>
    </row>
    <row r="635" spans="1:18" ht="15.75" customHeight="1" x14ac:dyDescent="0.25">
      <c r="A635" s="2">
        <v>5443213</v>
      </c>
      <c r="B635">
        <v>5443213</v>
      </c>
      <c r="C635" t="str">
        <f>HYPERLINK("https://ois.dk/map/5443213/sfe", "Link")</f>
        <v>Link</v>
      </c>
      <c r="D635" t="s">
        <v>854</v>
      </c>
      <c r="E635" s="17">
        <v>0.5</v>
      </c>
      <c r="F635" t="s">
        <v>856</v>
      </c>
      <c r="G635">
        <v>0.5</v>
      </c>
      <c r="Q635" s="1"/>
      <c r="R635" s="1"/>
    </row>
    <row r="636" spans="1:18" ht="15.75" customHeight="1" x14ac:dyDescent="0.25">
      <c r="A636" s="2">
        <v>5443213</v>
      </c>
      <c r="B636">
        <v>5443213</v>
      </c>
      <c r="C636" t="str">
        <f>HYPERLINK("https://ois.dk/map/5443213/sfe", "Link")</f>
        <v>Link</v>
      </c>
      <c r="D636" t="s">
        <v>854</v>
      </c>
      <c r="E636" s="17">
        <v>0.5</v>
      </c>
      <c r="F636" t="s">
        <v>857</v>
      </c>
      <c r="G636">
        <v>0.5</v>
      </c>
      <c r="Q636" s="1"/>
      <c r="R636" s="1"/>
    </row>
    <row r="637" spans="1:18" ht="15.75" customHeight="1" x14ac:dyDescent="0.25">
      <c r="A637" s="2">
        <v>5443214</v>
      </c>
      <c r="B637">
        <v>5443214</v>
      </c>
      <c r="C637" t="str">
        <f t="shared" ref="C637:C645" si="24">HYPERLINK("https://ois.dk/map/5443214/sfe", "Link")</f>
        <v>Link</v>
      </c>
      <c r="D637" t="s">
        <v>858</v>
      </c>
      <c r="E637" s="17">
        <v>0.5</v>
      </c>
      <c r="F637" t="s">
        <v>859</v>
      </c>
      <c r="G637">
        <v>0.5</v>
      </c>
      <c r="Q637" s="1"/>
      <c r="R637" s="1"/>
    </row>
    <row r="638" spans="1:18" ht="15.75" customHeight="1" x14ac:dyDescent="0.25">
      <c r="A638" s="2">
        <v>5443214</v>
      </c>
      <c r="B638">
        <v>5443214</v>
      </c>
      <c r="C638" t="str">
        <f t="shared" si="24"/>
        <v>Link</v>
      </c>
      <c r="D638" t="s">
        <v>858</v>
      </c>
      <c r="E638" s="17">
        <v>0.5</v>
      </c>
      <c r="F638" t="s">
        <v>860</v>
      </c>
      <c r="G638">
        <v>0.5</v>
      </c>
      <c r="Q638" s="1"/>
      <c r="R638" s="1"/>
    </row>
    <row r="639" spans="1:18" ht="15.75" customHeight="1" x14ac:dyDescent="0.25">
      <c r="A639" s="2">
        <v>5443214</v>
      </c>
      <c r="B639">
        <v>5443214</v>
      </c>
      <c r="C639" t="str">
        <f t="shared" si="24"/>
        <v>Link</v>
      </c>
      <c r="D639" t="s">
        <v>858</v>
      </c>
      <c r="E639" s="17">
        <v>0.5</v>
      </c>
      <c r="F639" t="s">
        <v>861</v>
      </c>
      <c r="G639">
        <v>0.5</v>
      </c>
      <c r="Q639" s="1"/>
      <c r="R639" s="1"/>
    </row>
    <row r="640" spans="1:18" ht="15.75" customHeight="1" x14ac:dyDescent="0.25">
      <c r="A640" s="2">
        <v>5443214</v>
      </c>
      <c r="B640">
        <v>5443214</v>
      </c>
      <c r="C640" t="str">
        <f t="shared" si="24"/>
        <v>Link</v>
      </c>
      <c r="D640" t="s">
        <v>858</v>
      </c>
      <c r="E640" s="17">
        <v>0.5</v>
      </c>
      <c r="F640" t="s">
        <v>862</v>
      </c>
      <c r="G640">
        <v>0.5</v>
      </c>
      <c r="Q640" s="1"/>
      <c r="R640" s="1"/>
    </row>
    <row r="641" spans="1:18" ht="15.75" customHeight="1" x14ac:dyDescent="0.25">
      <c r="A641" s="2">
        <v>5443214</v>
      </c>
      <c r="B641">
        <v>5443214</v>
      </c>
      <c r="C641" t="str">
        <f t="shared" si="24"/>
        <v>Link</v>
      </c>
      <c r="D641" t="s">
        <v>858</v>
      </c>
      <c r="E641" s="17">
        <v>0.5</v>
      </c>
      <c r="F641" t="s">
        <v>863</v>
      </c>
      <c r="G641">
        <v>0.5</v>
      </c>
      <c r="Q641" s="1"/>
      <c r="R641" s="1"/>
    </row>
    <row r="642" spans="1:18" ht="15.75" customHeight="1" x14ac:dyDescent="0.25">
      <c r="A642" s="2">
        <v>5443214</v>
      </c>
      <c r="B642">
        <v>5443214</v>
      </c>
      <c r="C642" t="str">
        <f t="shared" si="24"/>
        <v>Link</v>
      </c>
      <c r="D642" t="s">
        <v>858</v>
      </c>
      <c r="E642" s="17">
        <v>0.5</v>
      </c>
      <c r="F642" t="s">
        <v>864</v>
      </c>
      <c r="G642">
        <v>0.5</v>
      </c>
      <c r="Q642" s="1"/>
      <c r="R642" s="1"/>
    </row>
    <row r="643" spans="1:18" ht="15.75" customHeight="1" x14ac:dyDescent="0.25">
      <c r="A643" s="2">
        <v>5443214</v>
      </c>
      <c r="B643">
        <v>5443214</v>
      </c>
      <c r="C643" t="str">
        <f t="shared" si="24"/>
        <v>Link</v>
      </c>
      <c r="D643" t="s">
        <v>858</v>
      </c>
      <c r="E643" s="17">
        <v>0.5</v>
      </c>
      <c r="F643" t="s">
        <v>865</v>
      </c>
      <c r="G643">
        <v>0.5</v>
      </c>
      <c r="Q643" s="1"/>
      <c r="R643" s="1"/>
    </row>
    <row r="644" spans="1:18" ht="15.75" customHeight="1" x14ac:dyDescent="0.25">
      <c r="A644" s="2">
        <v>5443214</v>
      </c>
      <c r="B644">
        <v>5443214</v>
      </c>
      <c r="C644" t="str">
        <f t="shared" si="24"/>
        <v>Link</v>
      </c>
      <c r="D644" t="s">
        <v>858</v>
      </c>
      <c r="E644" s="17">
        <v>0.5</v>
      </c>
      <c r="F644" t="s">
        <v>866</v>
      </c>
      <c r="G644">
        <v>0.5</v>
      </c>
      <c r="Q644" s="1"/>
      <c r="R644" s="1"/>
    </row>
    <row r="645" spans="1:18" ht="15.75" customHeight="1" x14ac:dyDescent="0.25">
      <c r="A645" s="2">
        <v>5443214</v>
      </c>
      <c r="B645">
        <v>5443214</v>
      </c>
      <c r="C645" t="str">
        <f t="shared" si="24"/>
        <v>Link</v>
      </c>
      <c r="D645" t="s">
        <v>858</v>
      </c>
      <c r="E645" s="17">
        <v>0.5</v>
      </c>
      <c r="F645" t="s">
        <v>867</v>
      </c>
      <c r="G645">
        <v>0.5</v>
      </c>
      <c r="Q645" s="1"/>
      <c r="R645" s="1"/>
    </row>
    <row r="646" spans="1:18" ht="15.75" customHeight="1" x14ac:dyDescent="0.25">
      <c r="A646" s="2">
        <v>5443215</v>
      </c>
      <c r="B646">
        <v>5443215</v>
      </c>
      <c r="C646" t="str">
        <f>HYPERLINK("https://ois.dk/map/5443215/sfe", "Link")</f>
        <v>Link</v>
      </c>
      <c r="D646" t="s">
        <v>868</v>
      </c>
      <c r="E646" s="17">
        <v>0.5</v>
      </c>
      <c r="F646" t="s">
        <v>869</v>
      </c>
      <c r="G646">
        <v>0.5</v>
      </c>
      <c r="Q646" s="1"/>
      <c r="R646" s="1"/>
    </row>
    <row r="647" spans="1:18" ht="15.75" customHeight="1" x14ac:dyDescent="0.25">
      <c r="A647" s="2">
        <v>5443215</v>
      </c>
      <c r="B647">
        <v>5443215</v>
      </c>
      <c r="C647" t="str">
        <f>HYPERLINK("https://ois.dk/map/5443215/sfe", "Link")</f>
        <v>Link</v>
      </c>
      <c r="D647" t="s">
        <v>868</v>
      </c>
      <c r="E647" s="17">
        <v>0.5</v>
      </c>
      <c r="F647" t="s">
        <v>869</v>
      </c>
      <c r="G647">
        <v>0.5</v>
      </c>
      <c r="Q647" s="1"/>
      <c r="R647" s="1"/>
    </row>
    <row r="648" spans="1:18" ht="15.75" customHeight="1" x14ac:dyDescent="0.25">
      <c r="A648" s="2">
        <v>5443216</v>
      </c>
      <c r="B648">
        <v>286824</v>
      </c>
      <c r="C648" t="str">
        <f>HYPERLINK("https://ois.dk/map/286824/sfe", "Link")</f>
        <v>Link</v>
      </c>
      <c r="D648" t="s">
        <v>870</v>
      </c>
      <c r="E648" s="17">
        <v>0.5</v>
      </c>
      <c r="F648" t="s">
        <v>871</v>
      </c>
      <c r="G648">
        <v>0.5</v>
      </c>
      <c r="Q648" s="1"/>
      <c r="R648" s="1"/>
    </row>
    <row r="649" spans="1:18" ht="15.75" customHeight="1" x14ac:dyDescent="0.25">
      <c r="A649" s="2">
        <v>5443216</v>
      </c>
      <c r="B649">
        <v>286825</v>
      </c>
      <c r="C649" t="str">
        <f>HYPERLINK("https://ois.dk/map/286825/sfe", "Link")</f>
        <v>Link</v>
      </c>
      <c r="D649" t="s">
        <v>870</v>
      </c>
      <c r="E649" s="17">
        <v>0.5</v>
      </c>
      <c r="F649" t="s">
        <v>872</v>
      </c>
      <c r="G649">
        <v>0.5</v>
      </c>
      <c r="Q649" s="1"/>
      <c r="R649" s="1"/>
    </row>
    <row r="650" spans="1:18" ht="15.75" customHeight="1" x14ac:dyDescent="0.25">
      <c r="A650" s="2">
        <v>5443216</v>
      </c>
      <c r="B650">
        <v>286826</v>
      </c>
      <c r="C650" t="str">
        <f>HYPERLINK("https://ois.dk/map/286826/sfe", "Link")</f>
        <v>Link</v>
      </c>
      <c r="D650" t="s">
        <v>870</v>
      </c>
      <c r="E650" s="17">
        <v>0.5</v>
      </c>
      <c r="F650" t="s">
        <v>873</v>
      </c>
      <c r="G650">
        <v>0.5</v>
      </c>
      <c r="Q650" s="1"/>
      <c r="R650" s="1"/>
    </row>
    <row r="651" spans="1:18" ht="15.75" customHeight="1" x14ac:dyDescent="0.25">
      <c r="A651" s="2">
        <v>5443216</v>
      </c>
      <c r="B651">
        <v>286826</v>
      </c>
      <c r="C651" t="str">
        <f>HYPERLINK("https://ois.dk/map/286826/sfe", "Link")</f>
        <v>Link</v>
      </c>
      <c r="D651" t="s">
        <v>870</v>
      </c>
      <c r="E651" s="17">
        <v>0.5</v>
      </c>
      <c r="F651" t="s">
        <v>874</v>
      </c>
      <c r="G651">
        <v>0.5</v>
      </c>
      <c r="Q651" s="1"/>
      <c r="R651" s="1"/>
    </row>
    <row r="652" spans="1:18" ht="15.75" customHeight="1" x14ac:dyDescent="0.25">
      <c r="A652" s="2">
        <v>5443216</v>
      </c>
      <c r="B652">
        <v>286827</v>
      </c>
      <c r="C652" t="str">
        <f>HYPERLINK("https://ois.dk/map/286827/sfe", "Link")</f>
        <v>Link</v>
      </c>
      <c r="D652" t="s">
        <v>870</v>
      </c>
      <c r="E652" s="17">
        <v>0.5</v>
      </c>
      <c r="F652" t="s">
        <v>875</v>
      </c>
      <c r="G652">
        <v>0.5</v>
      </c>
      <c r="Q652" s="1"/>
      <c r="R652" s="1"/>
    </row>
    <row r="653" spans="1:18" ht="15.75" customHeight="1" x14ac:dyDescent="0.25">
      <c r="A653" s="2">
        <v>5443216</v>
      </c>
      <c r="B653">
        <v>286827</v>
      </c>
      <c r="C653" t="str">
        <f>HYPERLINK("https://ois.dk/map/286827/sfe", "Link")</f>
        <v>Link</v>
      </c>
      <c r="D653" t="s">
        <v>870</v>
      </c>
      <c r="E653" s="17">
        <v>0.5</v>
      </c>
      <c r="F653" t="s">
        <v>876</v>
      </c>
      <c r="G653">
        <v>0.5</v>
      </c>
      <c r="Q653" s="1"/>
      <c r="R653" s="1"/>
    </row>
    <row r="654" spans="1:18" ht="15.75" customHeight="1" x14ac:dyDescent="0.25">
      <c r="A654" s="2">
        <v>5443216</v>
      </c>
      <c r="B654">
        <v>286827</v>
      </c>
      <c r="C654" t="str">
        <f>HYPERLINK("https://ois.dk/map/286827/sfe", "Link")</f>
        <v>Link</v>
      </c>
      <c r="D654" t="s">
        <v>870</v>
      </c>
      <c r="E654" s="17">
        <v>0.5</v>
      </c>
      <c r="F654" t="s">
        <v>877</v>
      </c>
      <c r="G654">
        <v>0.5</v>
      </c>
      <c r="Q654" s="1"/>
      <c r="R654" s="1"/>
    </row>
    <row r="655" spans="1:18" ht="15.75" customHeight="1" x14ac:dyDescent="0.25">
      <c r="A655" s="2">
        <v>5443216</v>
      </c>
      <c r="B655">
        <v>286827</v>
      </c>
      <c r="C655" t="str">
        <f>HYPERLINK("https://ois.dk/map/286827/sfe", "Link")</f>
        <v>Link</v>
      </c>
      <c r="D655" t="s">
        <v>870</v>
      </c>
      <c r="E655" s="17">
        <v>0.5</v>
      </c>
      <c r="F655" t="s">
        <v>878</v>
      </c>
      <c r="G655">
        <v>0.5</v>
      </c>
      <c r="Q655" s="1"/>
      <c r="R655" s="1"/>
    </row>
    <row r="656" spans="1:18" ht="15.75" customHeight="1" x14ac:dyDescent="0.25">
      <c r="A656" s="2">
        <v>5443216</v>
      </c>
      <c r="B656">
        <v>286827</v>
      </c>
      <c r="C656" t="str">
        <f>HYPERLINK("https://ois.dk/map/286827/sfe", "Link")</f>
        <v>Link</v>
      </c>
      <c r="D656" t="s">
        <v>870</v>
      </c>
      <c r="E656" s="17">
        <v>0.5</v>
      </c>
      <c r="F656" t="s">
        <v>879</v>
      </c>
      <c r="G656">
        <v>0.5</v>
      </c>
      <c r="Q656" s="1"/>
      <c r="R656" s="1"/>
    </row>
    <row r="657" spans="1:18" ht="15.75" customHeight="1" x14ac:dyDescent="0.25">
      <c r="A657" s="2">
        <v>5443216</v>
      </c>
      <c r="B657">
        <v>286828</v>
      </c>
      <c r="C657" t="str">
        <f>HYPERLINK("https://ois.dk/map/286828/sfe", "Link")</f>
        <v>Link</v>
      </c>
      <c r="D657" t="s">
        <v>870</v>
      </c>
      <c r="E657" s="17">
        <v>0.5</v>
      </c>
      <c r="F657" t="s">
        <v>880</v>
      </c>
      <c r="G657">
        <v>0.5</v>
      </c>
      <c r="Q657" s="1"/>
      <c r="R657" s="1"/>
    </row>
    <row r="658" spans="1:18" ht="15.75" customHeight="1" x14ac:dyDescent="0.25">
      <c r="A658" s="2">
        <v>5443216</v>
      </c>
      <c r="B658">
        <v>286829</v>
      </c>
      <c r="C658" t="str">
        <f>HYPERLINK("https://ois.dk/map/286829/sfe", "Link")</f>
        <v>Link</v>
      </c>
      <c r="D658" t="s">
        <v>870</v>
      </c>
      <c r="E658" s="17">
        <v>0.5</v>
      </c>
      <c r="F658" t="s">
        <v>881</v>
      </c>
      <c r="G658">
        <v>0.5</v>
      </c>
      <c r="Q658" s="1"/>
      <c r="R658" s="1"/>
    </row>
    <row r="659" spans="1:18" ht="15.75" customHeight="1" x14ac:dyDescent="0.25">
      <c r="A659" s="2">
        <v>5443216</v>
      </c>
      <c r="B659">
        <v>286830</v>
      </c>
      <c r="C659" t="str">
        <f>HYPERLINK("https://ois.dk/map/286830/sfe", "Link")</f>
        <v>Link</v>
      </c>
      <c r="D659" t="s">
        <v>870</v>
      </c>
      <c r="E659" s="17">
        <v>0.5</v>
      </c>
      <c r="F659" t="s">
        <v>882</v>
      </c>
      <c r="G659">
        <v>0.5</v>
      </c>
      <c r="Q659" s="1"/>
      <c r="R659" s="1"/>
    </row>
    <row r="660" spans="1:18" ht="15.75" customHeight="1" x14ac:dyDescent="0.25">
      <c r="A660" s="2">
        <v>5443216</v>
      </c>
      <c r="B660">
        <v>286831</v>
      </c>
      <c r="C660" t="str">
        <f>HYPERLINK("https://ois.dk/map/286831/sfe", "Link")</f>
        <v>Link</v>
      </c>
      <c r="D660" t="s">
        <v>870</v>
      </c>
      <c r="E660" s="17">
        <v>0.5</v>
      </c>
      <c r="F660" t="s">
        <v>883</v>
      </c>
      <c r="G660">
        <v>0.5</v>
      </c>
      <c r="Q660" s="1"/>
      <c r="R660" s="1"/>
    </row>
    <row r="661" spans="1:18" ht="15.75" customHeight="1" x14ac:dyDescent="0.25">
      <c r="A661" s="2">
        <v>5443217</v>
      </c>
      <c r="B661">
        <v>5443217</v>
      </c>
      <c r="C661" t="str">
        <f>HYPERLINK("https://ois.dk/map/5443217/sfe", "Link")</f>
        <v>Link</v>
      </c>
      <c r="D661" t="s">
        <v>884</v>
      </c>
      <c r="E661" s="17">
        <v>0.5</v>
      </c>
      <c r="F661" t="s">
        <v>885</v>
      </c>
      <c r="G661">
        <v>0.5</v>
      </c>
      <c r="Q661" s="1"/>
      <c r="R661" s="1"/>
    </row>
    <row r="662" spans="1:18" ht="15.75" customHeight="1" x14ac:dyDescent="0.25">
      <c r="A662" s="2">
        <v>5443219</v>
      </c>
      <c r="B662">
        <v>5443219</v>
      </c>
      <c r="C662" t="str">
        <f>HYPERLINK("https://ois.dk/map/5443219/sfe", "Link")</f>
        <v>Link</v>
      </c>
      <c r="D662" t="s">
        <v>886</v>
      </c>
      <c r="E662" s="17">
        <v>0.5</v>
      </c>
      <c r="F662" t="s">
        <v>887</v>
      </c>
      <c r="G662">
        <v>0.5</v>
      </c>
      <c r="Q662" s="1"/>
      <c r="R662" s="1"/>
    </row>
    <row r="663" spans="1:18" ht="15.75" customHeight="1" x14ac:dyDescent="0.25">
      <c r="A663" s="2">
        <v>5443221</v>
      </c>
      <c r="B663">
        <v>5443221</v>
      </c>
      <c r="C663" t="str">
        <f>HYPERLINK("https://ois.dk/map/5443221/sfe", "Link")</f>
        <v>Link</v>
      </c>
      <c r="D663" t="s">
        <v>888</v>
      </c>
      <c r="E663" s="17">
        <v>0.5</v>
      </c>
      <c r="F663" t="s">
        <v>889</v>
      </c>
      <c r="G663">
        <v>0.5</v>
      </c>
      <c r="Q663" s="1"/>
      <c r="R663" s="1"/>
    </row>
    <row r="664" spans="1:18" ht="15.75" customHeight="1" x14ac:dyDescent="0.25">
      <c r="A664" s="2">
        <v>5443222</v>
      </c>
      <c r="B664">
        <v>5443222</v>
      </c>
      <c r="C664" t="str">
        <f>HYPERLINK("https://ois.dk/map/5443222/sfe", "Link")</f>
        <v>Link</v>
      </c>
      <c r="D664" t="s">
        <v>890</v>
      </c>
      <c r="E664" s="17">
        <v>0.5</v>
      </c>
      <c r="F664" t="s">
        <v>891</v>
      </c>
      <c r="G664">
        <v>0.5</v>
      </c>
      <c r="Q664" s="1"/>
      <c r="R664" s="1"/>
    </row>
    <row r="665" spans="1:18" ht="15.75" customHeight="1" x14ac:dyDescent="0.25">
      <c r="A665" s="2">
        <v>5443223</v>
      </c>
      <c r="B665">
        <v>5443223</v>
      </c>
      <c r="C665" t="str">
        <f>HYPERLINK("https://ois.dk/map/5443223/sfe", "Link")</f>
        <v>Link</v>
      </c>
      <c r="D665" t="s">
        <v>892</v>
      </c>
      <c r="E665" s="17">
        <v>0.5</v>
      </c>
      <c r="F665" t="s">
        <v>893</v>
      </c>
      <c r="G665">
        <v>0.5</v>
      </c>
      <c r="Q665" s="1"/>
      <c r="R665" s="1"/>
    </row>
    <row r="666" spans="1:18" ht="15.75" customHeight="1" x14ac:dyDescent="0.25">
      <c r="A666" s="2">
        <v>5443224</v>
      </c>
      <c r="B666">
        <v>5443224</v>
      </c>
      <c r="C666" t="str">
        <f>HYPERLINK("https://ois.dk/map/5443224/sfe", "Link")</f>
        <v>Link</v>
      </c>
      <c r="D666" t="s">
        <v>894</v>
      </c>
      <c r="E666" s="17">
        <v>0.5</v>
      </c>
      <c r="F666" t="s">
        <v>895</v>
      </c>
      <c r="G666">
        <v>0.5</v>
      </c>
      <c r="Q666" s="1"/>
      <c r="R666" s="1"/>
    </row>
    <row r="667" spans="1:18" ht="15.75" customHeight="1" x14ac:dyDescent="0.25">
      <c r="A667" s="2">
        <v>5443225</v>
      </c>
      <c r="B667">
        <v>5443225</v>
      </c>
      <c r="C667" t="str">
        <f>HYPERLINK("https://ois.dk/map/5443225/sfe", "Link")</f>
        <v>Link</v>
      </c>
      <c r="D667" t="s">
        <v>896</v>
      </c>
      <c r="E667" s="17">
        <v>0.5</v>
      </c>
      <c r="F667" t="s">
        <v>897</v>
      </c>
      <c r="G667">
        <v>0.5</v>
      </c>
      <c r="Q667" s="1"/>
      <c r="R667" s="1"/>
    </row>
    <row r="668" spans="1:18" ht="15.75" customHeight="1" x14ac:dyDescent="0.25">
      <c r="A668" s="2">
        <v>5443226</v>
      </c>
      <c r="B668">
        <v>5443226</v>
      </c>
      <c r="C668" t="str">
        <f>HYPERLINK("https://ois.dk/map/5443226/sfe", "Link")</f>
        <v>Link</v>
      </c>
      <c r="D668" t="s">
        <v>898</v>
      </c>
      <c r="E668" s="17">
        <v>0.5</v>
      </c>
      <c r="F668" t="s">
        <v>899</v>
      </c>
      <c r="G668">
        <v>0.5</v>
      </c>
      <c r="Q668" s="1"/>
      <c r="R668" s="1"/>
    </row>
    <row r="669" spans="1:18" ht="15.75" customHeight="1" x14ac:dyDescent="0.25">
      <c r="A669" s="2">
        <v>5443226</v>
      </c>
      <c r="B669">
        <v>5443226</v>
      </c>
      <c r="C669" t="str">
        <f>HYPERLINK("https://ois.dk/map/5443226/sfe", "Link")</f>
        <v>Link</v>
      </c>
      <c r="D669" t="s">
        <v>898</v>
      </c>
      <c r="E669" s="17">
        <v>0.5</v>
      </c>
      <c r="F669" t="s">
        <v>900</v>
      </c>
      <c r="G669">
        <v>0.5</v>
      </c>
      <c r="Q669" s="1"/>
      <c r="R669" s="1"/>
    </row>
    <row r="670" spans="1:18" ht="15.75" customHeight="1" x14ac:dyDescent="0.25">
      <c r="A670" s="2">
        <v>5443227</v>
      </c>
      <c r="B670">
        <v>5443227</v>
      </c>
      <c r="C670" t="str">
        <f>HYPERLINK("https://ois.dk/map/5443227/sfe", "Link")</f>
        <v>Link</v>
      </c>
      <c r="D670" t="s">
        <v>901</v>
      </c>
      <c r="E670" s="17">
        <v>0.5</v>
      </c>
      <c r="F670" t="s">
        <v>902</v>
      </c>
      <c r="G670">
        <v>0.5</v>
      </c>
      <c r="Q670" s="1"/>
      <c r="R670" s="1"/>
    </row>
    <row r="671" spans="1:18" ht="15.75" customHeight="1" x14ac:dyDescent="0.25">
      <c r="A671" s="2">
        <v>5443235</v>
      </c>
      <c r="B671">
        <v>5443235</v>
      </c>
      <c r="C671" t="str">
        <f>HYPERLINK("https://ois.dk/map/5443235/sfe", "Link")</f>
        <v>Link</v>
      </c>
      <c r="D671" t="s">
        <v>903</v>
      </c>
      <c r="E671" s="17">
        <v>0.5</v>
      </c>
      <c r="F671" t="s">
        <v>904</v>
      </c>
      <c r="G671">
        <v>0.5</v>
      </c>
      <c r="Q671" s="1"/>
      <c r="R671" s="1"/>
    </row>
    <row r="672" spans="1:18" ht="15.75" customHeight="1" x14ac:dyDescent="0.25">
      <c r="A672" s="2">
        <v>5443236</v>
      </c>
      <c r="B672">
        <v>5443236</v>
      </c>
      <c r="C672" t="str">
        <f>HYPERLINK("https://ois.dk/map/5443236/sfe", "Link")</f>
        <v>Link</v>
      </c>
      <c r="D672" t="s">
        <v>905</v>
      </c>
      <c r="E672" s="17">
        <v>0.5</v>
      </c>
      <c r="F672" t="s">
        <v>906</v>
      </c>
      <c r="G672">
        <v>0.5</v>
      </c>
      <c r="Q672" s="1"/>
      <c r="R672" s="1"/>
    </row>
    <row r="673" spans="1:18" ht="15.75" customHeight="1" x14ac:dyDescent="0.25">
      <c r="A673" s="2">
        <v>5443236</v>
      </c>
      <c r="B673">
        <v>5443236</v>
      </c>
      <c r="C673" t="str">
        <f>HYPERLINK("https://ois.dk/map/5443236/sfe", "Link")</f>
        <v>Link</v>
      </c>
      <c r="D673" t="s">
        <v>905</v>
      </c>
      <c r="E673" s="17">
        <v>0.5</v>
      </c>
      <c r="F673" t="s">
        <v>907</v>
      </c>
      <c r="G673">
        <v>0.5</v>
      </c>
      <c r="Q673" s="1"/>
      <c r="R673" s="1"/>
    </row>
    <row r="674" spans="1:18" ht="15.75" customHeight="1" x14ac:dyDescent="0.25">
      <c r="A674" s="2">
        <v>5443236</v>
      </c>
      <c r="B674">
        <v>5443236</v>
      </c>
      <c r="C674" t="str">
        <f>HYPERLINK("https://ois.dk/map/5443236/sfe", "Link")</f>
        <v>Link</v>
      </c>
      <c r="D674" t="s">
        <v>905</v>
      </c>
      <c r="E674" s="17">
        <v>0.5</v>
      </c>
      <c r="F674" t="s">
        <v>908</v>
      </c>
      <c r="G674">
        <v>0.5</v>
      </c>
      <c r="Q674" s="1"/>
      <c r="R674" s="1"/>
    </row>
    <row r="675" spans="1:18" ht="15.75" customHeight="1" x14ac:dyDescent="0.25">
      <c r="A675" s="2">
        <v>5443237</v>
      </c>
      <c r="B675">
        <v>5443237</v>
      </c>
      <c r="C675" t="str">
        <f t="shared" ref="C675:C684" si="25">HYPERLINK("https://ois.dk/map/5443237/sfe", "Link")</f>
        <v>Link</v>
      </c>
      <c r="D675" t="s">
        <v>909</v>
      </c>
      <c r="E675" s="17">
        <v>0.5</v>
      </c>
      <c r="F675" t="s">
        <v>910</v>
      </c>
      <c r="G675">
        <v>0.5</v>
      </c>
      <c r="Q675" s="1"/>
      <c r="R675" s="1"/>
    </row>
    <row r="676" spans="1:18" ht="15.75" customHeight="1" x14ac:dyDescent="0.25">
      <c r="A676" s="2">
        <v>5443237</v>
      </c>
      <c r="B676">
        <v>5443237</v>
      </c>
      <c r="C676" t="str">
        <f t="shared" si="25"/>
        <v>Link</v>
      </c>
      <c r="D676" t="s">
        <v>909</v>
      </c>
      <c r="E676" s="17">
        <v>0.5</v>
      </c>
      <c r="F676" t="s">
        <v>910</v>
      </c>
      <c r="G676">
        <v>0.5</v>
      </c>
      <c r="Q676" s="1"/>
      <c r="R676" s="1"/>
    </row>
    <row r="677" spans="1:18" ht="15.75" customHeight="1" x14ac:dyDescent="0.25">
      <c r="A677" s="2">
        <v>5443237</v>
      </c>
      <c r="B677">
        <v>5443237</v>
      </c>
      <c r="C677" t="str">
        <f t="shared" si="25"/>
        <v>Link</v>
      </c>
      <c r="D677" t="s">
        <v>909</v>
      </c>
      <c r="E677" s="17">
        <v>0.5</v>
      </c>
      <c r="F677" t="s">
        <v>910</v>
      </c>
      <c r="G677">
        <v>0.5</v>
      </c>
      <c r="Q677" s="1"/>
      <c r="R677" s="1"/>
    </row>
    <row r="678" spans="1:18" ht="15.75" customHeight="1" x14ac:dyDescent="0.25">
      <c r="A678" s="2">
        <v>5443237</v>
      </c>
      <c r="B678">
        <v>5443237</v>
      </c>
      <c r="C678" t="str">
        <f t="shared" si="25"/>
        <v>Link</v>
      </c>
      <c r="D678" t="s">
        <v>909</v>
      </c>
      <c r="E678" s="17">
        <v>0.5</v>
      </c>
      <c r="F678" t="s">
        <v>910</v>
      </c>
      <c r="G678">
        <v>0.5</v>
      </c>
      <c r="Q678" s="1"/>
      <c r="R678" s="1"/>
    </row>
    <row r="679" spans="1:18" ht="15.75" customHeight="1" x14ac:dyDescent="0.25">
      <c r="A679" s="2">
        <v>5443237</v>
      </c>
      <c r="B679">
        <v>5443237</v>
      </c>
      <c r="C679" t="str">
        <f t="shared" si="25"/>
        <v>Link</v>
      </c>
      <c r="D679" t="s">
        <v>909</v>
      </c>
      <c r="E679" s="17">
        <v>0.5</v>
      </c>
      <c r="F679" t="s">
        <v>910</v>
      </c>
      <c r="G679">
        <v>0.5</v>
      </c>
      <c r="Q679" s="1"/>
      <c r="R679" s="1"/>
    </row>
    <row r="680" spans="1:18" ht="15.75" customHeight="1" x14ac:dyDescent="0.25">
      <c r="A680" s="2">
        <v>5443237</v>
      </c>
      <c r="B680">
        <v>5443237</v>
      </c>
      <c r="C680" t="str">
        <f t="shared" si="25"/>
        <v>Link</v>
      </c>
      <c r="D680" t="s">
        <v>909</v>
      </c>
      <c r="E680" s="17">
        <v>0.5</v>
      </c>
      <c r="F680" t="s">
        <v>910</v>
      </c>
      <c r="G680">
        <v>0.5</v>
      </c>
      <c r="Q680" s="1"/>
      <c r="R680" s="1"/>
    </row>
    <row r="681" spans="1:18" ht="15.75" customHeight="1" x14ac:dyDescent="0.25">
      <c r="A681" s="2">
        <v>5443237</v>
      </c>
      <c r="B681">
        <v>5443237</v>
      </c>
      <c r="C681" t="str">
        <f t="shared" si="25"/>
        <v>Link</v>
      </c>
      <c r="D681" t="s">
        <v>909</v>
      </c>
      <c r="E681" s="17">
        <v>0.5</v>
      </c>
      <c r="F681" t="s">
        <v>911</v>
      </c>
      <c r="G681">
        <v>0.5</v>
      </c>
      <c r="Q681" s="1"/>
      <c r="R681" s="1"/>
    </row>
    <row r="682" spans="1:18" ht="15.75" customHeight="1" x14ac:dyDescent="0.25">
      <c r="A682" s="2">
        <v>5443237</v>
      </c>
      <c r="B682">
        <v>5443237</v>
      </c>
      <c r="C682" t="str">
        <f t="shared" si="25"/>
        <v>Link</v>
      </c>
      <c r="D682" t="s">
        <v>909</v>
      </c>
      <c r="E682" s="17">
        <v>0.5</v>
      </c>
      <c r="F682" t="s">
        <v>912</v>
      </c>
      <c r="G682">
        <v>0.5</v>
      </c>
      <c r="Q682" s="1"/>
      <c r="R682" s="1"/>
    </row>
    <row r="683" spans="1:18" ht="15.75" customHeight="1" x14ac:dyDescent="0.25">
      <c r="A683" s="2">
        <v>5443237</v>
      </c>
      <c r="B683">
        <v>5443237</v>
      </c>
      <c r="C683" t="str">
        <f t="shared" si="25"/>
        <v>Link</v>
      </c>
      <c r="D683" t="s">
        <v>909</v>
      </c>
      <c r="E683" s="17">
        <v>0.5</v>
      </c>
      <c r="F683" t="s">
        <v>913</v>
      </c>
      <c r="G683">
        <v>0.5</v>
      </c>
      <c r="Q683" s="1"/>
      <c r="R683" s="1"/>
    </row>
    <row r="684" spans="1:18" ht="15.75" customHeight="1" x14ac:dyDescent="0.25">
      <c r="A684" s="2">
        <v>5443237</v>
      </c>
      <c r="B684">
        <v>5443237</v>
      </c>
      <c r="C684" t="str">
        <f t="shared" si="25"/>
        <v>Link</v>
      </c>
      <c r="D684" t="s">
        <v>909</v>
      </c>
      <c r="E684" s="17">
        <v>0.5</v>
      </c>
      <c r="F684" t="s">
        <v>914</v>
      </c>
      <c r="G684">
        <v>0.5</v>
      </c>
      <c r="Q684" s="1"/>
      <c r="R684" s="1"/>
    </row>
    <row r="685" spans="1:18" ht="15.75" customHeight="1" x14ac:dyDescent="0.25">
      <c r="A685" s="2">
        <v>5443238</v>
      </c>
      <c r="B685">
        <v>5443238</v>
      </c>
      <c r="C685" t="str">
        <f>HYPERLINK("https://ois.dk/map/5443238/sfe", "Link")</f>
        <v>Link</v>
      </c>
      <c r="D685" t="s">
        <v>915</v>
      </c>
      <c r="E685" s="17">
        <v>0.5</v>
      </c>
      <c r="F685" t="s">
        <v>916</v>
      </c>
      <c r="G685">
        <v>0.5</v>
      </c>
      <c r="Q685" s="1"/>
      <c r="R685" s="1"/>
    </row>
    <row r="686" spans="1:18" ht="15.75" customHeight="1" x14ac:dyDescent="0.25">
      <c r="A686" s="2">
        <v>5443239</v>
      </c>
      <c r="B686">
        <v>5443239</v>
      </c>
      <c r="C686" t="str">
        <f>HYPERLINK("https://ois.dk/map/5443239/sfe", "Link")</f>
        <v>Link</v>
      </c>
      <c r="D686" t="s">
        <v>917</v>
      </c>
      <c r="E686" s="17">
        <v>0.5</v>
      </c>
      <c r="F686" t="s">
        <v>918</v>
      </c>
      <c r="G686">
        <v>0.5</v>
      </c>
      <c r="Q686" s="1"/>
      <c r="R686" s="1"/>
    </row>
    <row r="687" spans="1:18" ht="15.75" customHeight="1" x14ac:dyDescent="0.25">
      <c r="A687" s="2">
        <v>5443240</v>
      </c>
      <c r="B687">
        <v>5443240</v>
      </c>
      <c r="C687" t="str">
        <f>HYPERLINK("https://ois.dk/map/5443240/sfe", "Link")</f>
        <v>Link</v>
      </c>
      <c r="D687" t="s">
        <v>919</v>
      </c>
      <c r="E687" s="17">
        <v>0.5</v>
      </c>
      <c r="F687" t="s">
        <v>920</v>
      </c>
      <c r="G687">
        <v>0.5</v>
      </c>
      <c r="Q687" s="1"/>
      <c r="R687" s="1"/>
    </row>
    <row r="688" spans="1:18" ht="15.75" customHeight="1" x14ac:dyDescent="0.25">
      <c r="A688" s="2">
        <v>5443241</v>
      </c>
      <c r="B688">
        <v>5443241</v>
      </c>
      <c r="C688" t="str">
        <f>HYPERLINK("https://ois.dk/map/5443241/sfe", "Link")</f>
        <v>Link</v>
      </c>
      <c r="D688" t="s">
        <v>921</v>
      </c>
      <c r="E688" s="17">
        <v>0.5</v>
      </c>
      <c r="F688" t="s">
        <v>922</v>
      </c>
      <c r="G688">
        <v>0.5</v>
      </c>
      <c r="Q688" s="1"/>
      <c r="R688" s="1"/>
    </row>
    <row r="689" spans="1:18" ht="15.75" customHeight="1" x14ac:dyDescent="0.25">
      <c r="A689" s="2">
        <v>5443242</v>
      </c>
      <c r="B689">
        <v>5443242</v>
      </c>
      <c r="C689" t="str">
        <f>HYPERLINK("https://ois.dk/map/5443242/sfe", "Link")</f>
        <v>Link</v>
      </c>
      <c r="D689" t="s">
        <v>923</v>
      </c>
      <c r="E689" s="17">
        <v>0.5</v>
      </c>
      <c r="F689" t="s">
        <v>924</v>
      </c>
      <c r="G689">
        <v>0.5</v>
      </c>
      <c r="Q689" s="1"/>
      <c r="R689" s="1"/>
    </row>
    <row r="690" spans="1:18" ht="15.75" customHeight="1" x14ac:dyDescent="0.25">
      <c r="A690" s="2">
        <v>5443243</v>
      </c>
      <c r="B690">
        <v>5443243</v>
      </c>
      <c r="C690" t="str">
        <f>HYPERLINK("https://ois.dk/map/5443243/sfe", "Link")</f>
        <v>Link</v>
      </c>
      <c r="D690" t="s">
        <v>925</v>
      </c>
      <c r="E690" s="17">
        <v>0.5</v>
      </c>
      <c r="F690" t="s">
        <v>926</v>
      </c>
      <c r="G690">
        <v>0.5</v>
      </c>
      <c r="Q690" s="1"/>
      <c r="R690" s="1"/>
    </row>
    <row r="691" spans="1:18" ht="15.75" customHeight="1" x14ac:dyDescent="0.25">
      <c r="A691" s="2">
        <v>5443244</v>
      </c>
      <c r="B691">
        <v>286832</v>
      </c>
      <c r="C691" t="str">
        <f>HYPERLINK("https://ois.dk/map/286832/sfe", "Link")</f>
        <v>Link</v>
      </c>
      <c r="D691" t="s">
        <v>927</v>
      </c>
      <c r="E691" s="17">
        <v>0.5</v>
      </c>
      <c r="F691" t="s">
        <v>928</v>
      </c>
      <c r="G691">
        <v>0.5</v>
      </c>
      <c r="Q691" s="1"/>
      <c r="R691" s="1"/>
    </row>
    <row r="692" spans="1:18" ht="15.75" customHeight="1" x14ac:dyDescent="0.25">
      <c r="A692" s="2">
        <v>5443244</v>
      </c>
      <c r="B692">
        <v>286833</v>
      </c>
      <c r="C692" t="str">
        <f>HYPERLINK("https://ois.dk/map/286833/sfe", "Link")</f>
        <v>Link</v>
      </c>
      <c r="D692" t="s">
        <v>927</v>
      </c>
      <c r="E692" s="17">
        <v>0.5</v>
      </c>
      <c r="F692" t="s">
        <v>929</v>
      </c>
      <c r="G692">
        <v>0.5</v>
      </c>
      <c r="Q692" s="1"/>
      <c r="R692" s="1"/>
    </row>
    <row r="693" spans="1:18" ht="15.75" customHeight="1" x14ac:dyDescent="0.25">
      <c r="A693" s="2">
        <v>5443244</v>
      </c>
      <c r="B693">
        <v>286834</v>
      </c>
      <c r="C693" t="str">
        <f>HYPERLINK("https://ois.dk/map/286834/sfe", "Link")</f>
        <v>Link</v>
      </c>
      <c r="D693" t="s">
        <v>927</v>
      </c>
      <c r="E693" s="17">
        <v>0.5</v>
      </c>
      <c r="F693" t="s">
        <v>930</v>
      </c>
      <c r="G693">
        <v>0.5</v>
      </c>
      <c r="Q693" s="1"/>
      <c r="R693" s="1"/>
    </row>
    <row r="694" spans="1:18" ht="15.75" customHeight="1" x14ac:dyDescent="0.25">
      <c r="A694" s="2">
        <v>5443244</v>
      </c>
      <c r="B694">
        <v>286835</v>
      </c>
      <c r="C694" t="str">
        <f>HYPERLINK("https://ois.dk/map/286835/sfe", "Link")</f>
        <v>Link</v>
      </c>
      <c r="D694" t="s">
        <v>927</v>
      </c>
      <c r="E694" s="17">
        <v>0.5</v>
      </c>
      <c r="F694" t="s">
        <v>931</v>
      </c>
      <c r="G694">
        <v>0.5</v>
      </c>
      <c r="Q694" s="1"/>
      <c r="R694" s="1"/>
    </row>
    <row r="695" spans="1:18" ht="15.75" customHeight="1" x14ac:dyDescent="0.25">
      <c r="A695" s="2">
        <v>5443244</v>
      </c>
      <c r="B695">
        <v>286836</v>
      </c>
      <c r="C695" t="str">
        <f>HYPERLINK("https://ois.dk/map/286836/sfe", "Link")</f>
        <v>Link</v>
      </c>
      <c r="D695" t="s">
        <v>927</v>
      </c>
      <c r="E695" s="17">
        <v>0.5</v>
      </c>
      <c r="F695" t="s">
        <v>932</v>
      </c>
      <c r="G695">
        <v>0.5</v>
      </c>
      <c r="Q695" s="1"/>
      <c r="R695" s="1"/>
    </row>
    <row r="696" spans="1:18" ht="15.75" customHeight="1" x14ac:dyDescent="0.25">
      <c r="A696" s="2">
        <v>5443244</v>
      </c>
      <c r="B696">
        <v>286837</v>
      </c>
      <c r="C696" t="str">
        <f>HYPERLINK("https://ois.dk/map/286837/sfe", "Link")</f>
        <v>Link</v>
      </c>
      <c r="D696" t="s">
        <v>927</v>
      </c>
      <c r="E696" s="17">
        <v>0.5</v>
      </c>
      <c r="F696" t="s">
        <v>933</v>
      </c>
      <c r="G696">
        <v>0.5</v>
      </c>
      <c r="Q696" s="1"/>
      <c r="R696" s="1"/>
    </row>
    <row r="697" spans="1:18" ht="15.75" customHeight="1" x14ac:dyDescent="0.25">
      <c r="A697" s="2">
        <v>5443245</v>
      </c>
      <c r="B697">
        <v>5443245</v>
      </c>
      <c r="C697" t="str">
        <f>HYPERLINK("https://ois.dk/map/5443245/sfe", "Link")</f>
        <v>Link</v>
      </c>
      <c r="D697" t="s">
        <v>934</v>
      </c>
      <c r="E697" s="17">
        <v>0.5</v>
      </c>
      <c r="F697" t="s">
        <v>935</v>
      </c>
      <c r="G697">
        <v>0.5</v>
      </c>
      <c r="Q697" s="1"/>
      <c r="R697" s="1"/>
    </row>
    <row r="698" spans="1:18" ht="15.75" customHeight="1" x14ac:dyDescent="0.25">
      <c r="A698" s="2">
        <v>5443246</v>
      </c>
      <c r="B698">
        <v>5443246</v>
      </c>
      <c r="C698" t="str">
        <f>HYPERLINK("https://ois.dk/map/5443246/sfe", "Link")</f>
        <v>Link</v>
      </c>
      <c r="D698" t="s">
        <v>936</v>
      </c>
      <c r="E698" s="17">
        <v>0.5</v>
      </c>
      <c r="F698" t="s">
        <v>937</v>
      </c>
      <c r="G698">
        <v>0.5</v>
      </c>
      <c r="Q698" s="1"/>
      <c r="R698" s="1"/>
    </row>
    <row r="699" spans="1:18" ht="15.75" customHeight="1" x14ac:dyDescent="0.25">
      <c r="A699" s="2">
        <v>5443247</v>
      </c>
      <c r="B699">
        <v>5443247</v>
      </c>
      <c r="C699" t="str">
        <f>HYPERLINK("https://ois.dk/map/5443247/sfe", "Link")</f>
        <v>Link</v>
      </c>
      <c r="D699" t="s">
        <v>938</v>
      </c>
      <c r="E699" s="17">
        <v>0.5</v>
      </c>
      <c r="F699" t="s">
        <v>939</v>
      </c>
      <c r="G699">
        <v>0.5</v>
      </c>
      <c r="Q699" s="1"/>
      <c r="R699" s="1"/>
    </row>
    <row r="700" spans="1:18" ht="15.75" customHeight="1" x14ac:dyDescent="0.25">
      <c r="A700" s="2">
        <v>5443248</v>
      </c>
      <c r="B700">
        <v>5443248</v>
      </c>
      <c r="C700" t="str">
        <f>HYPERLINK("https://ois.dk/map/5443248/sfe", "Link")</f>
        <v>Link</v>
      </c>
      <c r="D700" t="s">
        <v>940</v>
      </c>
      <c r="E700" s="17">
        <v>0.5</v>
      </c>
      <c r="F700" t="s">
        <v>937</v>
      </c>
      <c r="G700">
        <v>0.5</v>
      </c>
      <c r="Q700" s="1"/>
      <c r="R700" s="1"/>
    </row>
    <row r="701" spans="1:18" ht="15.75" customHeight="1" x14ac:dyDescent="0.25">
      <c r="A701" s="2">
        <v>5443250</v>
      </c>
      <c r="B701">
        <v>5443250</v>
      </c>
      <c r="C701" t="str">
        <f>HYPERLINK("https://ois.dk/map/5443250/sfe", "Link")</f>
        <v>Link</v>
      </c>
      <c r="D701" t="s">
        <v>941</v>
      </c>
      <c r="E701" s="17">
        <v>0.5</v>
      </c>
      <c r="F701" t="s">
        <v>942</v>
      </c>
      <c r="G701">
        <v>0.5</v>
      </c>
      <c r="Q701" s="1"/>
      <c r="R701" s="1"/>
    </row>
    <row r="702" spans="1:18" ht="15.75" customHeight="1" x14ac:dyDescent="0.25">
      <c r="A702" s="2">
        <v>5443252</v>
      </c>
      <c r="B702">
        <v>5443252</v>
      </c>
      <c r="C702" t="str">
        <f>HYPERLINK("https://ois.dk/map/5443252/sfe", "Link")</f>
        <v>Link</v>
      </c>
      <c r="D702" t="s">
        <v>943</v>
      </c>
      <c r="E702" s="17">
        <v>0.5</v>
      </c>
      <c r="F702" t="s">
        <v>944</v>
      </c>
      <c r="G702">
        <v>0.5</v>
      </c>
      <c r="Q702" s="1"/>
      <c r="R702" s="1"/>
    </row>
    <row r="703" spans="1:18" ht="15.75" customHeight="1" x14ac:dyDescent="0.25">
      <c r="A703" s="2">
        <v>5443253</v>
      </c>
      <c r="B703">
        <v>5443253</v>
      </c>
      <c r="C703" t="str">
        <f>HYPERLINK("https://ois.dk/map/5443253/sfe", "Link")</f>
        <v>Link</v>
      </c>
      <c r="D703" t="s">
        <v>945</v>
      </c>
      <c r="E703" s="17">
        <v>0.5</v>
      </c>
      <c r="F703" t="s">
        <v>946</v>
      </c>
      <c r="G703">
        <v>0.5</v>
      </c>
      <c r="Q703" s="1"/>
      <c r="R703" s="1"/>
    </row>
    <row r="704" spans="1:18" ht="15.75" customHeight="1" x14ac:dyDescent="0.25">
      <c r="A704" s="2">
        <v>5443254</v>
      </c>
      <c r="B704">
        <v>5443254</v>
      </c>
      <c r="C704" t="str">
        <f>HYPERLINK("https://ois.dk/map/5443254/sfe", "Link")</f>
        <v>Link</v>
      </c>
      <c r="D704" t="s">
        <v>947</v>
      </c>
      <c r="E704" s="17">
        <v>0.5</v>
      </c>
      <c r="F704" t="s">
        <v>948</v>
      </c>
      <c r="G704">
        <v>0.5</v>
      </c>
      <c r="Q704" s="1"/>
      <c r="R704" s="1"/>
    </row>
    <row r="705" spans="1:18" ht="15.75" customHeight="1" x14ac:dyDescent="0.25">
      <c r="A705" s="2">
        <v>5443255</v>
      </c>
      <c r="B705">
        <v>5443255</v>
      </c>
      <c r="C705" t="str">
        <f>HYPERLINK("https://ois.dk/map/5443255/sfe", "Link")</f>
        <v>Link</v>
      </c>
      <c r="D705" t="s">
        <v>949</v>
      </c>
      <c r="E705" s="17">
        <v>0.5</v>
      </c>
      <c r="F705" t="s">
        <v>950</v>
      </c>
      <c r="G705">
        <v>0.5</v>
      </c>
      <c r="Q705" s="1"/>
      <c r="R705" s="1"/>
    </row>
    <row r="706" spans="1:18" ht="15.75" customHeight="1" x14ac:dyDescent="0.25">
      <c r="A706" s="2">
        <v>5443256</v>
      </c>
      <c r="B706">
        <v>5443256</v>
      </c>
      <c r="C706" t="str">
        <f>HYPERLINK("https://ois.dk/map/5443256/sfe", "Link")</f>
        <v>Link</v>
      </c>
      <c r="D706" t="s">
        <v>951</v>
      </c>
      <c r="E706" s="17">
        <v>0.5</v>
      </c>
      <c r="F706" t="s">
        <v>952</v>
      </c>
      <c r="G706">
        <v>0.5</v>
      </c>
      <c r="Q706" s="1"/>
      <c r="R706" s="1"/>
    </row>
    <row r="707" spans="1:18" ht="15.75" customHeight="1" x14ac:dyDescent="0.25">
      <c r="A707" s="2">
        <v>5443257</v>
      </c>
      <c r="B707">
        <v>5443257</v>
      </c>
      <c r="C707" t="str">
        <f t="shared" ref="C707:C713" si="26">HYPERLINK("https://ois.dk/map/5443257/sfe", "Link")</f>
        <v>Link</v>
      </c>
      <c r="D707" t="s">
        <v>953</v>
      </c>
      <c r="E707" s="17">
        <v>0.5</v>
      </c>
      <c r="F707" t="s">
        <v>954</v>
      </c>
      <c r="G707">
        <v>0.5</v>
      </c>
      <c r="Q707" s="1"/>
      <c r="R707" s="1"/>
    </row>
    <row r="708" spans="1:18" ht="15.75" customHeight="1" x14ac:dyDescent="0.25">
      <c r="A708" s="2">
        <v>5443257</v>
      </c>
      <c r="B708">
        <v>5443257</v>
      </c>
      <c r="C708" t="str">
        <f t="shared" si="26"/>
        <v>Link</v>
      </c>
      <c r="D708" t="s">
        <v>953</v>
      </c>
      <c r="E708" s="17">
        <v>0.5</v>
      </c>
      <c r="F708" t="s">
        <v>955</v>
      </c>
      <c r="G708">
        <v>0.5</v>
      </c>
      <c r="Q708" s="1"/>
      <c r="R708" s="1"/>
    </row>
    <row r="709" spans="1:18" ht="15.75" customHeight="1" x14ac:dyDescent="0.25">
      <c r="A709" s="2">
        <v>5443257</v>
      </c>
      <c r="B709">
        <v>5443257</v>
      </c>
      <c r="C709" t="str">
        <f t="shared" si="26"/>
        <v>Link</v>
      </c>
      <c r="D709" t="s">
        <v>953</v>
      </c>
      <c r="E709" s="17">
        <v>0.5</v>
      </c>
      <c r="F709" t="s">
        <v>956</v>
      </c>
      <c r="G709">
        <v>0.5</v>
      </c>
      <c r="Q709" s="1"/>
      <c r="R709" s="1"/>
    </row>
    <row r="710" spans="1:18" ht="15.75" customHeight="1" x14ac:dyDescent="0.25">
      <c r="A710" s="2">
        <v>5443257</v>
      </c>
      <c r="B710">
        <v>5443257</v>
      </c>
      <c r="C710" t="str">
        <f t="shared" si="26"/>
        <v>Link</v>
      </c>
      <c r="D710" t="s">
        <v>953</v>
      </c>
      <c r="E710" s="17">
        <v>0.5</v>
      </c>
      <c r="F710" t="s">
        <v>957</v>
      </c>
      <c r="G710">
        <v>0.5</v>
      </c>
      <c r="Q710" s="1"/>
      <c r="R710" s="1"/>
    </row>
    <row r="711" spans="1:18" ht="15.75" customHeight="1" x14ac:dyDescent="0.25">
      <c r="A711" s="2">
        <v>5443257</v>
      </c>
      <c r="B711">
        <v>5443257</v>
      </c>
      <c r="C711" t="str">
        <f t="shared" si="26"/>
        <v>Link</v>
      </c>
      <c r="D711" t="s">
        <v>953</v>
      </c>
      <c r="E711" s="17">
        <v>0.5</v>
      </c>
      <c r="F711" t="s">
        <v>958</v>
      </c>
      <c r="G711">
        <v>0.5</v>
      </c>
      <c r="Q711" s="1"/>
      <c r="R711" s="1"/>
    </row>
    <row r="712" spans="1:18" ht="15.75" customHeight="1" x14ac:dyDescent="0.25">
      <c r="A712" s="2">
        <v>5443257</v>
      </c>
      <c r="B712">
        <v>5443257</v>
      </c>
      <c r="C712" t="str">
        <f t="shared" si="26"/>
        <v>Link</v>
      </c>
      <c r="D712" t="s">
        <v>953</v>
      </c>
      <c r="E712" s="17">
        <v>0.5</v>
      </c>
      <c r="F712" t="s">
        <v>959</v>
      </c>
      <c r="G712">
        <v>0.5</v>
      </c>
      <c r="Q712" s="1"/>
      <c r="R712" s="1"/>
    </row>
    <row r="713" spans="1:18" ht="15.75" customHeight="1" x14ac:dyDescent="0.25">
      <c r="A713" s="2">
        <v>5443257</v>
      </c>
      <c r="B713">
        <v>5443257</v>
      </c>
      <c r="C713" t="str">
        <f t="shared" si="26"/>
        <v>Link</v>
      </c>
      <c r="D713" t="s">
        <v>953</v>
      </c>
      <c r="E713" s="17">
        <v>0.5</v>
      </c>
      <c r="F713" t="s">
        <v>960</v>
      </c>
      <c r="G713">
        <v>0.5</v>
      </c>
      <c r="Q713" s="1"/>
      <c r="R713" s="1"/>
    </row>
    <row r="714" spans="1:18" ht="15.75" customHeight="1" x14ac:dyDescent="0.25">
      <c r="A714" s="2">
        <v>5443258</v>
      </c>
      <c r="B714">
        <v>5443258</v>
      </c>
      <c r="C714" t="str">
        <f>HYPERLINK("https://ois.dk/map/5443258/sfe", "Link")</f>
        <v>Link</v>
      </c>
      <c r="D714" t="s">
        <v>961</v>
      </c>
      <c r="E714" s="17">
        <v>0.5</v>
      </c>
      <c r="F714" t="s">
        <v>962</v>
      </c>
      <c r="G714">
        <v>0.5</v>
      </c>
      <c r="Q714" s="1"/>
      <c r="R714" s="1"/>
    </row>
    <row r="715" spans="1:18" ht="15.75" customHeight="1" x14ac:dyDescent="0.25">
      <c r="A715" s="2">
        <v>5443259</v>
      </c>
      <c r="B715">
        <v>5443259</v>
      </c>
      <c r="C715" t="str">
        <f>HYPERLINK("https://ois.dk/map/5443259/sfe", "Link")</f>
        <v>Link</v>
      </c>
      <c r="D715" t="s">
        <v>963</v>
      </c>
      <c r="E715" s="17">
        <v>0.5</v>
      </c>
      <c r="F715" t="s">
        <v>964</v>
      </c>
      <c r="G715">
        <v>0.5</v>
      </c>
      <c r="Q715" s="1"/>
      <c r="R715" s="1"/>
    </row>
    <row r="716" spans="1:18" ht="15.75" customHeight="1" x14ac:dyDescent="0.25">
      <c r="A716" s="2">
        <v>5443259</v>
      </c>
      <c r="B716">
        <v>5443259</v>
      </c>
      <c r="C716" t="str">
        <f>HYPERLINK("https://ois.dk/map/5443259/sfe", "Link")</f>
        <v>Link</v>
      </c>
      <c r="D716" t="s">
        <v>963</v>
      </c>
      <c r="E716" s="17">
        <v>0.5</v>
      </c>
      <c r="F716" t="s">
        <v>965</v>
      </c>
      <c r="G716">
        <v>0.5</v>
      </c>
      <c r="Q716" s="1"/>
      <c r="R716" s="1"/>
    </row>
    <row r="717" spans="1:18" ht="15.75" customHeight="1" x14ac:dyDescent="0.25">
      <c r="A717" s="2">
        <v>5443259</v>
      </c>
      <c r="B717">
        <v>5443259</v>
      </c>
      <c r="C717" t="str">
        <f>HYPERLINK("https://ois.dk/map/5443259/sfe", "Link")</f>
        <v>Link</v>
      </c>
      <c r="D717" t="s">
        <v>963</v>
      </c>
      <c r="E717" s="17">
        <v>0.5</v>
      </c>
      <c r="F717" t="s">
        <v>965</v>
      </c>
      <c r="G717">
        <v>0.5</v>
      </c>
      <c r="Q717" s="1"/>
      <c r="R717" s="1"/>
    </row>
    <row r="718" spans="1:18" ht="15.75" customHeight="1" x14ac:dyDescent="0.25">
      <c r="A718" s="2">
        <v>5443261</v>
      </c>
      <c r="B718">
        <v>5443261</v>
      </c>
      <c r="C718" t="str">
        <f>HYPERLINK("https://ois.dk/map/5443261/sfe", "Link")</f>
        <v>Link</v>
      </c>
      <c r="D718" t="s">
        <v>966</v>
      </c>
      <c r="E718" s="17">
        <v>0.5</v>
      </c>
      <c r="F718" t="s">
        <v>967</v>
      </c>
      <c r="G718">
        <v>0.5</v>
      </c>
      <c r="Q718" s="1"/>
      <c r="R718" s="1"/>
    </row>
    <row r="719" spans="1:18" ht="15.75" customHeight="1" x14ac:dyDescent="0.25">
      <c r="A719" s="2">
        <v>5443261</v>
      </c>
      <c r="B719">
        <v>5443261</v>
      </c>
      <c r="C719" t="str">
        <f>HYPERLINK("https://ois.dk/map/5443261/sfe", "Link")</f>
        <v>Link</v>
      </c>
      <c r="D719" t="s">
        <v>966</v>
      </c>
      <c r="E719" s="17">
        <v>0.5</v>
      </c>
      <c r="F719" t="s">
        <v>968</v>
      </c>
      <c r="G719">
        <v>0.5</v>
      </c>
      <c r="Q719" s="1"/>
      <c r="R719" s="1"/>
    </row>
    <row r="720" spans="1:18" ht="15.75" customHeight="1" x14ac:dyDescent="0.25">
      <c r="A720" s="2">
        <v>5443262</v>
      </c>
      <c r="B720">
        <v>5443262</v>
      </c>
      <c r="C720" t="str">
        <f>HYPERLINK("https://ois.dk/map/5443262/sfe", "Link")</f>
        <v>Link</v>
      </c>
      <c r="D720" t="s">
        <v>969</v>
      </c>
      <c r="E720" s="17">
        <v>0.5</v>
      </c>
      <c r="F720" t="s">
        <v>970</v>
      </c>
      <c r="G720">
        <v>0.5</v>
      </c>
      <c r="Q720" s="1"/>
      <c r="R720" s="1"/>
    </row>
    <row r="721" spans="1:18" ht="15.75" customHeight="1" x14ac:dyDescent="0.25">
      <c r="A721" s="2">
        <v>5443264</v>
      </c>
      <c r="B721">
        <v>5443264</v>
      </c>
      <c r="C721" t="str">
        <f>HYPERLINK("https://ois.dk/map/5443264/sfe", "Link")</f>
        <v>Link</v>
      </c>
      <c r="D721" t="s">
        <v>971</v>
      </c>
      <c r="E721" s="17">
        <v>0.5</v>
      </c>
      <c r="F721" t="s">
        <v>972</v>
      </c>
      <c r="G721">
        <v>0.5</v>
      </c>
      <c r="Q721" s="1"/>
      <c r="R721" s="1"/>
    </row>
    <row r="722" spans="1:18" ht="15.75" customHeight="1" x14ac:dyDescent="0.25">
      <c r="A722" s="2">
        <v>5443265</v>
      </c>
      <c r="B722">
        <v>5443265</v>
      </c>
      <c r="C722" t="str">
        <f>HYPERLINK("https://ois.dk/map/5443265/sfe", "Link")</f>
        <v>Link</v>
      </c>
      <c r="D722" t="s">
        <v>973</v>
      </c>
      <c r="E722" s="17">
        <v>0.5</v>
      </c>
      <c r="F722" t="s">
        <v>974</v>
      </c>
      <c r="G722">
        <v>0.5</v>
      </c>
      <c r="Q722" s="1"/>
      <c r="R722" s="1"/>
    </row>
    <row r="723" spans="1:18" ht="15.75" customHeight="1" x14ac:dyDescent="0.25">
      <c r="A723" s="2">
        <v>5443266</v>
      </c>
      <c r="B723">
        <v>5443266</v>
      </c>
      <c r="C723" t="str">
        <f>HYPERLINK("https://ois.dk/map/5443266/sfe", "Link")</f>
        <v>Link</v>
      </c>
      <c r="D723" t="s">
        <v>975</v>
      </c>
      <c r="E723" s="17">
        <v>0.5</v>
      </c>
      <c r="F723" t="s">
        <v>976</v>
      </c>
      <c r="G723">
        <v>0.5</v>
      </c>
      <c r="Q723" s="1"/>
      <c r="R723" s="1"/>
    </row>
    <row r="724" spans="1:18" ht="15.75" customHeight="1" x14ac:dyDescent="0.25">
      <c r="A724" s="2">
        <v>5443267</v>
      </c>
      <c r="B724">
        <v>5443267</v>
      </c>
      <c r="C724" t="str">
        <f>HYPERLINK("https://ois.dk/map/5443267/sfe", "Link")</f>
        <v>Link</v>
      </c>
      <c r="D724" t="s">
        <v>977</v>
      </c>
      <c r="E724" s="17">
        <v>0.5</v>
      </c>
      <c r="F724" t="s">
        <v>978</v>
      </c>
      <c r="G724">
        <v>0.5</v>
      </c>
      <c r="Q724" s="1"/>
      <c r="R724" s="1"/>
    </row>
    <row r="725" spans="1:18" ht="15.75" customHeight="1" x14ac:dyDescent="0.25">
      <c r="A725" s="2">
        <v>5443267</v>
      </c>
      <c r="B725">
        <v>5443267</v>
      </c>
      <c r="C725" t="str">
        <f>HYPERLINK("https://ois.dk/map/5443267/sfe", "Link")</f>
        <v>Link</v>
      </c>
      <c r="D725" t="s">
        <v>977</v>
      </c>
      <c r="E725" s="17">
        <v>0.5</v>
      </c>
      <c r="F725" t="s">
        <v>979</v>
      </c>
      <c r="G725">
        <v>0.5</v>
      </c>
      <c r="Q725" s="1"/>
      <c r="R725" s="1"/>
    </row>
    <row r="726" spans="1:18" ht="15.75" customHeight="1" x14ac:dyDescent="0.25">
      <c r="A726" s="2">
        <v>5443268</v>
      </c>
      <c r="B726">
        <v>5443268</v>
      </c>
      <c r="C726" t="str">
        <f>HYPERLINK("https://ois.dk/map/5443268/sfe", "Link")</f>
        <v>Link</v>
      </c>
      <c r="D726" t="s">
        <v>980</v>
      </c>
      <c r="E726" s="17">
        <v>0.5</v>
      </c>
      <c r="F726" t="s">
        <v>981</v>
      </c>
      <c r="G726">
        <v>0.5</v>
      </c>
      <c r="Q726" s="1"/>
      <c r="R726" s="1"/>
    </row>
    <row r="727" spans="1:18" ht="15.75" customHeight="1" x14ac:dyDescent="0.25">
      <c r="A727" s="2">
        <v>5443268</v>
      </c>
      <c r="B727">
        <v>5443268</v>
      </c>
      <c r="C727" t="str">
        <f>HYPERLINK("https://ois.dk/map/5443268/sfe", "Link")</f>
        <v>Link</v>
      </c>
      <c r="D727" t="s">
        <v>980</v>
      </c>
      <c r="E727" s="17">
        <v>0.5</v>
      </c>
      <c r="F727" t="s">
        <v>982</v>
      </c>
      <c r="G727">
        <v>0.5</v>
      </c>
      <c r="Q727" s="1"/>
      <c r="R727" s="1"/>
    </row>
    <row r="728" spans="1:18" ht="15.75" customHeight="1" x14ac:dyDescent="0.25">
      <c r="A728" s="2">
        <v>5443268</v>
      </c>
      <c r="B728">
        <v>5443268</v>
      </c>
      <c r="C728" t="str">
        <f>HYPERLINK("https://ois.dk/map/5443268/sfe", "Link")</f>
        <v>Link</v>
      </c>
      <c r="D728" t="s">
        <v>980</v>
      </c>
      <c r="E728" s="17">
        <v>0.5</v>
      </c>
      <c r="F728" t="s">
        <v>983</v>
      </c>
      <c r="G728">
        <v>0.5</v>
      </c>
      <c r="Q728" s="1"/>
      <c r="R728" s="1"/>
    </row>
    <row r="729" spans="1:18" ht="15.75" customHeight="1" x14ac:dyDescent="0.25">
      <c r="A729" s="2">
        <v>5443268</v>
      </c>
      <c r="B729">
        <v>5443268</v>
      </c>
      <c r="C729" t="str">
        <f>HYPERLINK("https://ois.dk/map/5443268/sfe", "Link")</f>
        <v>Link</v>
      </c>
      <c r="D729" t="s">
        <v>980</v>
      </c>
      <c r="E729" s="17">
        <v>0.5</v>
      </c>
      <c r="F729" t="s">
        <v>984</v>
      </c>
      <c r="G729">
        <v>0.5</v>
      </c>
      <c r="Q729" s="1"/>
      <c r="R729" s="1"/>
    </row>
    <row r="730" spans="1:18" ht="15.75" customHeight="1" x14ac:dyDescent="0.25">
      <c r="A730" s="2">
        <v>5443269</v>
      </c>
      <c r="B730">
        <v>5443269</v>
      </c>
      <c r="C730" t="str">
        <f>HYPERLINK("https://ois.dk/map/5443269/sfe", "Link")</f>
        <v>Link</v>
      </c>
      <c r="D730" t="s">
        <v>985</v>
      </c>
      <c r="E730" s="17">
        <v>0.5</v>
      </c>
      <c r="F730" t="s">
        <v>986</v>
      </c>
      <c r="G730">
        <v>0.5</v>
      </c>
      <c r="Q730" s="1"/>
      <c r="R730" s="1"/>
    </row>
    <row r="731" spans="1:18" ht="15.75" customHeight="1" x14ac:dyDescent="0.25">
      <c r="A731" s="2">
        <v>5443269</v>
      </c>
      <c r="B731">
        <v>5443269</v>
      </c>
      <c r="C731" t="str">
        <f>HYPERLINK("https://ois.dk/map/5443269/sfe", "Link")</f>
        <v>Link</v>
      </c>
      <c r="D731" t="s">
        <v>985</v>
      </c>
      <c r="E731" s="17">
        <v>0.5</v>
      </c>
      <c r="F731" t="s">
        <v>987</v>
      </c>
      <c r="G731">
        <v>0.5</v>
      </c>
      <c r="Q731" s="1"/>
      <c r="R731" s="1"/>
    </row>
    <row r="732" spans="1:18" ht="15.75" customHeight="1" x14ac:dyDescent="0.25">
      <c r="A732" s="2">
        <v>5443270</v>
      </c>
      <c r="B732">
        <v>5443270</v>
      </c>
      <c r="C732" t="str">
        <f>HYPERLINK("https://ois.dk/map/5443270/sfe", "Link")</f>
        <v>Link</v>
      </c>
      <c r="D732" t="s">
        <v>988</v>
      </c>
      <c r="E732" s="17">
        <v>0.5</v>
      </c>
      <c r="F732" t="s">
        <v>989</v>
      </c>
      <c r="G732">
        <v>0.5</v>
      </c>
      <c r="Q732" s="1"/>
      <c r="R732" s="1"/>
    </row>
    <row r="733" spans="1:18" ht="15.75" customHeight="1" x14ac:dyDescent="0.25">
      <c r="A733" s="2">
        <v>5443270</v>
      </c>
      <c r="B733">
        <v>5443270</v>
      </c>
      <c r="C733" t="str">
        <f>HYPERLINK("https://ois.dk/map/5443270/sfe", "Link")</f>
        <v>Link</v>
      </c>
      <c r="D733" t="s">
        <v>988</v>
      </c>
      <c r="E733" s="17">
        <v>0.5</v>
      </c>
      <c r="F733" t="s">
        <v>990</v>
      </c>
      <c r="G733">
        <v>0.5</v>
      </c>
      <c r="Q733" s="1"/>
      <c r="R733" s="1"/>
    </row>
    <row r="734" spans="1:18" ht="15.75" customHeight="1" x14ac:dyDescent="0.25">
      <c r="A734" s="2">
        <v>5443272</v>
      </c>
      <c r="B734">
        <v>5443272</v>
      </c>
      <c r="C734" t="str">
        <f>HYPERLINK("https://ois.dk/map/5443272/sfe", "Link")</f>
        <v>Link</v>
      </c>
      <c r="D734" t="s">
        <v>991</v>
      </c>
      <c r="E734" s="17">
        <v>0.5</v>
      </c>
      <c r="F734" t="s">
        <v>992</v>
      </c>
      <c r="G734">
        <v>0.5</v>
      </c>
      <c r="Q734" s="1"/>
      <c r="R734" s="1"/>
    </row>
    <row r="735" spans="1:18" ht="15.75" customHeight="1" x14ac:dyDescent="0.25">
      <c r="A735" s="2">
        <v>5443272</v>
      </c>
      <c r="B735">
        <v>5443272</v>
      </c>
      <c r="C735" t="str">
        <f>HYPERLINK("https://ois.dk/map/5443272/sfe", "Link")</f>
        <v>Link</v>
      </c>
      <c r="D735" t="s">
        <v>991</v>
      </c>
      <c r="E735" s="17">
        <v>0.5</v>
      </c>
      <c r="F735" t="s">
        <v>993</v>
      </c>
      <c r="G735">
        <v>0.5</v>
      </c>
      <c r="Q735" s="1"/>
      <c r="R735" s="1"/>
    </row>
    <row r="736" spans="1:18" ht="15.75" customHeight="1" x14ac:dyDescent="0.25">
      <c r="A736" s="2">
        <v>5443273</v>
      </c>
      <c r="B736">
        <v>5443273</v>
      </c>
      <c r="C736" t="str">
        <f t="shared" ref="C736:C743" si="27">HYPERLINK("https://ois.dk/map/5443273/sfe", "Link")</f>
        <v>Link</v>
      </c>
      <c r="D736" t="s">
        <v>994</v>
      </c>
      <c r="E736" s="17">
        <v>0.5</v>
      </c>
      <c r="F736" t="s">
        <v>995</v>
      </c>
      <c r="G736">
        <v>0.5</v>
      </c>
      <c r="Q736" s="1"/>
      <c r="R736" s="1"/>
    </row>
    <row r="737" spans="1:18" ht="15.75" customHeight="1" x14ac:dyDescent="0.25">
      <c r="A737" s="2">
        <v>5443273</v>
      </c>
      <c r="B737">
        <v>5443273</v>
      </c>
      <c r="C737" t="str">
        <f t="shared" si="27"/>
        <v>Link</v>
      </c>
      <c r="D737" t="s">
        <v>994</v>
      </c>
      <c r="E737" s="17">
        <v>0.5</v>
      </c>
      <c r="F737" t="s">
        <v>996</v>
      </c>
      <c r="G737">
        <v>0.5</v>
      </c>
      <c r="Q737" s="1"/>
      <c r="R737" s="1"/>
    </row>
    <row r="738" spans="1:18" ht="15.75" customHeight="1" x14ac:dyDescent="0.25">
      <c r="A738" s="2">
        <v>5443273</v>
      </c>
      <c r="B738">
        <v>5443273</v>
      </c>
      <c r="C738" t="str">
        <f t="shared" si="27"/>
        <v>Link</v>
      </c>
      <c r="D738" t="s">
        <v>994</v>
      </c>
      <c r="E738" s="17">
        <v>0.5</v>
      </c>
      <c r="F738" t="s">
        <v>997</v>
      </c>
      <c r="G738">
        <v>0.5</v>
      </c>
      <c r="Q738" s="1"/>
      <c r="R738" s="1"/>
    </row>
    <row r="739" spans="1:18" ht="15.75" customHeight="1" x14ac:dyDescent="0.25">
      <c r="A739" s="2">
        <v>5443273</v>
      </c>
      <c r="B739">
        <v>5443273</v>
      </c>
      <c r="C739" t="str">
        <f t="shared" si="27"/>
        <v>Link</v>
      </c>
      <c r="D739" t="s">
        <v>994</v>
      </c>
      <c r="E739" s="17">
        <v>0.5</v>
      </c>
      <c r="F739" t="s">
        <v>998</v>
      </c>
      <c r="G739">
        <v>0.5</v>
      </c>
      <c r="Q739" s="1"/>
      <c r="R739" s="1"/>
    </row>
    <row r="740" spans="1:18" ht="15.75" customHeight="1" x14ac:dyDescent="0.25">
      <c r="A740" s="2">
        <v>5443273</v>
      </c>
      <c r="B740">
        <v>5443273</v>
      </c>
      <c r="C740" t="str">
        <f t="shared" si="27"/>
        <v>Link</v>
      </c>
      <c r="D740" t="s">
        <v>994</v>
      </c>
      <c r="E740" s="17">
        <v>0.5</v>
      </c>
      <c r="F740" t="s">
        <v>999</v>
      </c>
      <c r="G740">
        <v>0.5</v>
      </c>
      <c r="Q740" s="1"/>
      <c r="R740" s="1"/>
    </row>
    <row r="741" spans="1:18" ht="15.75" customHeight="1" x14ac:dyDescent="0.25">
      <c r="A741" s="2">
        <v>5443273</v>
      </c>
      <c r="B741">
        <v>5443273</v>
      </c>
      <c r="C741" t="str">
        <f t="shared" si="27"/>
        <v>Link</v>
      </c>
      <c r="D741" t="s">
        <v>994</v>
      </c>
      <c r="E741" s="17">
        <v>0.5</v>
      </c>
      <c r="F741" t="s">
        <v>1000</v>
      </c>
      <c r="G741">
        <v>0.5</v>
      </c>
      <c r="Q741" s="1"/>
      <c r="R741" s="1"/>
    </row>
    <row r="742" spans="1:18" ht="15.75" customHeight="1" x14ac:dyDescent="0.25">
      <c r="A742" s="2">
        <v>5443273</v>
      </c>
      <c r="B742">
        <v>5443273</v>
      </c>
      <c r="C742" t="str">
        <f t="shared" si="27"/>
        <v>Link</v>
      </c>
      <c r="D742" t="s">
        <v>994</v>
      </c>
      <c r="E742" s="17">
        <v>0.5</v>
      </c>
      <c r="F742" t="s">
        <v>1001</v>
      </c>
      <c r="G742">
        <v>0.5</v>
      </c>
      <c r="Q742" s="1"/>
      <c r="R742" s="1"/>
    </row>
    <row r="743" spans="1:18" ht="15.75" customHeight="1" x14ac:dyDescent="0.25">
      <c r="A743" s="2">
        <v>5443273</v>
      </c>
      <c r="B743">
        <v>5443273</v>
      </c>
      <c r="C743" t="str">
        <f t="shared" si="27"/>
        <v>Link</v>
      </c>
      <c r="D743" t="s">
        <v>994</v>
      </c>
      <c r="E743" s="17">
        <v>0.5</v>
      </c>
      <c r="F743" t="s">
        <v>1002</v>
      </c>
      <c r="G743">
        <v>0.5</v>
      </c>
      <c r="Q743" s="1"/>
      <c r="R743" s="1"/>
    </row>
    <row r="744" spans="1:18" ht="15.75" customHeight="1" x14ac:dyDescent="0.25">
      <c r="A744" s="2">
        <v>5443276</v>
      </c>
      <c r="B744">
        <v>5443276</v>
      </c>
      <c r="C744" t="str">
        <f>HYPERLINK("https://ois.dk/map/5443276/sfe", "Link")</f>
        <v>Link</v>
      </c>
      <c r="D744" t="s">
        <v>1003</v>
      </c>
      <c r="E744" s="17">
        <v>0.5</v>
      </c>
      <c r="F744" t="s">
        <v>1004</v>
      </c>
      <c r="G744">
        <v>0.5</v>
      </c>
      <c r="Q744" s="1"/>
      <c r="R744" s="1"/>
    </row>
    <row r="745" spans="1:18" ht="15.75" customHeight="1" x14ac:dyDescent="0.25">
      <c r="A745" s="2">
        <v>5443278</v>
      </c>
      <c r="B745">
        <v>5443278</v>
      </c>
      <c r="C745" t="str">
        <f>HYPERLINK("https://ois.dk/map/5443278/sfe", "Link")</f>
        <v>Link</v>
      </c>
      <c r="D745" t="s">
        <v>1005</v>
      </c>
      <c r="E745" s="17">
        <v>0.5</v>
      </c>
      <c r="F745" t="s">
        <v>1006</v>
      </c>
      <c r="G745">
        <v>0.5</v>
      </c>
      <c r="Q745" s="1"/>
      <c r="R745" s="1"/>
    </row>
    <row r="746" spans="1:18" ht="15.75" customHeight="1" x14ac:dyDescent="0.25">
      <c r="A746" s="2">
        <v>5443279</v>
      </c>
      <c r="B746">
        <v>5443279</v>
      </c>
      <c r="C746" t="str">
        <f>HYPERLINK("https://ois.dk/map/5443279/sfe", "Link")</f>
        <v>Link</v>
      </c>
      <c r="D746" t="s">
        <v>1007</v>
      </c>
      <c r="E746" s="17">
        <v>0.5</v>
      </c>
      <c r="G746">
        <v>0.5</v>
      </c>
      <c r="Q746" s="1"/>
      <c r="R746" s="1"/>
    </row>
    <row r="747" spans="1:18" ht="15.75" customHeight="1" x14ac:dyDescent="0.25">
      <c r="A747" s="2">
        <v>5443281</v>
      </c>
      <c r="B747">
        <v>5443281</v>
      </c>
      <c r="C747" t="str">
        <f>HYPERLINK("https://ois.dk/map/5443281/sfe", "Link")</f>
        <v>Link</v>
      </c>
      <c r="D747" t="s">
        <v>1008</v>
      </c>
      <c r="E747" s="17">
        <v>0.5</v>
      </c>
      <c r="F747" t="s">
        <v>1009</v>
      </c>
      <c r="G747">
        <v>0.5</v>
      </c>
      <c r="Q747" s="1"/>
      <c r="R747" s="1"/>
    </row>
    <row r="748" spans="1:18" ht="15.75" customHeight="1" x14ac:dyDescent="0.25">
      <c r="A748" s="2">
        <v>5443282</v>
      </c>
      <c r="B748">
        <v>5443282</v>
      </c>
      <c r="C748" t="str">
        <f>HYPERLINK("https://ois.dk/map/5443282/sfe", "Link")</f>
        <v>Link</v>
      </c>
      <c r="D748" t="s">
        <v>1010</v>
      </c>
      <c r="E748" s="17">
        <v>0.5</v>
      </c>
      <c r="F748" t="s">
        <v>1011</v>
      </c>
      <c r="G748">
        <v>0.5</v>
      </c>
      <c r="Q748" s="1"/>
      <c r="R748" s="1"/>
    </row>
    <row r="749" spans="1:18" ht="15.75" customHeight="1" x14ac:dyDescent="0.25">
      <c r="A749" s="2">
        <v>5443282</v>
      </c>
      <c r="B749">
        <v>5443282</v>
      </c>
      <c r="C749" t="str">
        <f>HYPERLINK("https://ois.dk/map/5443282/sfe", "Link")</f>
        <v>Link</v>
      </c>
      <c r="D749" t="s">
        <v>1010</v>
      </c>
      <c r="E749" s="17">
        <v>0.5</v>
      </c>
      <c r="F749" t="s">
        <v>1012</v>
      </c>
      <c r="G749">
        <v>0.5</v>
      </c>
      <c r="Q749" s="1"/>
      <c r="R749" s="1"/>
    </row>
    <row r="750" spans="1:18" ht="15.75" customHeight="1" x14ac:dyDescent="0.25">
      <c r="A750" s="2">
        <v>5443282</v>
      </c>
      <c r="B750">
        <v>5443282</v>
      </c>
      <c r="C750" t="str">
        <f>HYPERLINK("https://ois.dk/map/5443282/sfe", "Link")</f>
        <v>Link</v>
      </c>
      <c r="D750" t="s">
        <v>1010</v>
      </c>
      <c r="E750" s="17">
        <v>0.5</v>
      </c>
      <c r="F750" t="s">
        <v>1013</v>
      </c>
      <c r="G750">
        <v>0.5</v>
      </c>
      <c r="Q750" s="1"/>
      <c r="R750" s="1"/>
    </row>
    <row r="751" spans="1:18" ht="15.75" customHeight="1" x14ac:dyDescent="0.25">
      <c r="A751" s="2">
        <v>5443282</v>
      </c>
      <c r="B751">
        <v>5443282</v>
      </c>
      <c r="C751" t="str">
        <f>HYPERLINK("https://ois.dk/map/5443282/sfe", "Link")</f>
        <v>Link</v>
      </c>
      <c r="D751" t="s">
        <v>1010</v>
      </c>
      <c r="E751" s="17">
        <v>0.5</v>
      </c>
      <c r="F751" t="s">
        <v>1014</v>
      </c>
      <c r="G751">
        <v>0.5</v>
      </c>
      <c r="Q751" s="1"/>
      <c r="R751" s="1"/>
    </row>
    <row r="752" spans="1:18" ht="15.75" customHeight="1" x14ac:dyDescent="0.25">
      <c r="A752" s="2">
        <v>5443283</v>
      </c>
      <c r="B752">
        <v>5443283</v>
      </c>
      <c r="C752" t="str">
        <f>HYPERLINK("https://ois.dk/map/5443283/sfe", "Link")</f>
        <v>Link</v>
      </c>
      <c r="D752" t="s">
        <v>1015</v>
      </c>
      <c r="E752" s="17">
        <v>0.5</v>
      </c>
      <c r="F752" t="s">
        <v>1016</v>
      </c>
      <c r="G752">
        <v>0.5</v>
      </c>
      <c r="Q752" s="1"/>
      <c r="R752" s="1"/>
    </row>
    <row r="753" spans="1:18" ht="15.75" customHeight="1" x14ac:dyDescent="0.25">
      <c r="A753" s="2">
        <v>5443283</v>
      </c>
      <c r="B753">
        <v>5443283</v>
      </c>
      <c r="C753" t="str">
        <f>HYPERLINK("https://ois.dk/map/5443283/sfe", "Link")</f>
        <v>Link</v>
      </c>
      <c r="D753" t="s">
        <v>1015</v>
      </c>
      <c r="E753" s="17">
        <v>0.5</v>
      </c>
      <c r="F753" t="s">
        <v>1017</v>
      </c>
      <c r="G753">
        <v>0.5</v>
      </c>
      <c r="Q753" s="1"/>
      <c r="R753" s="1"/>
    </row>
    <row r="754" spans="1:18" ht="15.75" customHeight="1" x14ac:dyDescent="0.25">
      <c r="A754" s="2">
        <v>5443284</v>
      </c>
      <c r="B754">
        <v>5443284</v>
      </c>
      <c r="C754" t="str">
        <f>HYPERLINK("https://ois.dk/map/5443284/sfe", "Link")</f>
        <v>Link</v>
      </c>
      <c r="D754" t="s">
        <v>1018</v>
      </c>
      <c r="E754" s="17">
        <v>0.5</v>
      </c>
      <c r="F754" t="s">
        <v>1019</v>
      </c>
      <c r="G754">
        <v>0.5</v>
      </c>
      <c r="Q754" s="1"/>
      <c r="R754" s="1"/>
    </row>
    <row r="755" spans="1:18" ht="15.75" customHeight="1" x14ac:dyDescent="0.25">
      <c r="A755" s="2">
        <v>5443285</v>
      </c>
      <c r="B755">
        <v>5443285</v>
      </c>
      <c r="C755" t="str">
        <f>HYPERLINK("https://ois.dk/map/5443285/sfe", "Link")</f>
        <v>Link</v>
      </c>
      <c r="D755" t="s">
        <v>1020</v>
      </c>
      <c r="E755" s="17">
        <v>0.5</v>
      </c>
      <c r="F755" t="s">
        <v>1021</v>
      </c>
      <c r="G755">
        <v>0.5</v>
      </c>
      <c r="Q755" s="1"/>
      <c r="R755" s="1"/>
    </row>
    <row r="756" spans="1:18" ht="15.75" customHeight="1" x14ac:dyDescent="0.25">
      <c r="A756" s="2">
        <v>5443285</v>
      </c>
      <c r="B756">
        <v>5443285</v>
      </c>
      <c r="C756" t="str">
        <f>HYPERLINK("https://ois.dk/map/5443285/sfe", "Link")</f>
        <v>Link</v>
      </c>
      <c r="D756" t="s">
        <v>1020</v>
      </c>
      <c r="E756" s="17">
        <v>0.5</v>
      </c>
      <c r="F756" t="s">
        <v>1021</v>
      </c>
      <c r="G756">
        <v>0.5</v>
      </c>
      <c r="Q756" s="1"/>
      <c r="R756" s="1"/>
    </row>
    <row r="757" spans="1:18" ht="15.75" customHeight="1" x14ac:dyDescent="0.25">
      <c r="A757" s="2">
        <v>5443290</v>
      </c>
      <c r="B757">
        <v>5443290</v>
      </c>
      <c r="C757" t="str">
        <f>HYPERLINK("https://ois.dk/map/5443290/sfe", "Link")</f>
        <v>Link</v>
      </c>
      <c r="D757" t="s">
        <v>1022</v>
      </c>
      <c r="E757" s="17">
        <v>0.5</v>
      </c>
      <c r="F757" t="s">
        <v>1023</v>
      </c>
      <c r="G757">
        <v>0.5</v>
      </c>
      <c r="Q757" s="1"/>
      <c r="R757" s="1"/>
    </row>
    <row r="758" spans="1:18" ht="15.75" customHeight="1" x14ac:dyDescent="0.25">
      <c r="A758" s="2">
        <v>5443290</v>
      </c>
      <c r="B758">
        <v>5443290</v>
      </c>
      <c r="C758" t="str">
        <f>HYPERLINK("https://ois.dk/map/5443290/sfe", "Link")</f>
        <v>Link</v>
      </c>
      <c r="D758" t="s">
        <v>1022</v>
      </c>
      <c r="E758" s="17">
        <v>0.5</v>
      </c>
      <c r="F758" t="s">
        <v>1024</v>
      </c>
      <c r="G758">
        <v>0.5</v>
      </c>
      <c r="Q758" s="1"/>
      <c r="R758" s="1"/>
    </row>
    <row r="759" spans="1:18" ht="15.75" customHeight="1" x14ac:dyDescent="0.25">
      <c r="A759" s="2">
        <v>5443290</v>
      </c>
      <c r="B759">
        <v>5443290</v>
      </c>
      <c r="C759" t="str">
        <f>HYPERLINK("https://ois.dk/map/5443290/sfe", "Link")</f>
        <v>Link</v>
      </c>
      <c r="D759" t="s">
        <v>1022</v>
      </c>
      <c r="E759" s="17">
        <v>0.5</v>
      </c>
      <c r="F759" t="s">
        <v>1024</v>
      </c>
      <c r="G759">
        <v>0.5</v>
      </c>
      <c r="Q759" s="1"/>
      <c r="R759" s="1"/>
    </row>
    <row r="760" spans="1:18" ht="15.75" customHeight="1" x14ac:dyDescent="0.25">
      <c r="A760" s="2">
        <v>5443291</v>
      </c>
      <c r="B760">
        <v>5443291</v>
      </c>
      <c r="C760" t="str">
        <f>HYPERLINK("https://ois.dk/map/5443291/sfe", "Link")</f>
        <v>Link</v>
      </c>
      <c r="D760" t="s">
        <v>1025</v>
      </c>
      <c r="E760" s="17">
        <v>0.5</v>
      </c>
      <c r="F760" t="s">
        <v>1026</v>
      </c>
      <c r="G760">
        <v>0.5</v>
      </c>
      <c r="Q760" s="1"/>
      <c r="R760" s="1"/>
    </row>
    <row r="761" spans="1:18" ht="15.75" customHeight="1" x14ac:dyDescent="0.25">
      <c r="A761" s="2">
        <v>5443297</v>
      </c>
      <c r="B761">
        <v>5443297</v>
      </c>
      <c r="C761" t="str">
        <f>HYPERLINK("https://ois.dk/map/5443297/sfe", "Link")</f>
        <v>Link</v>
      </c>
      <c r="D761" t="s">
        <v>1027</v>
      </c>
      <c r="E761" s="17">
        <v>0.5</v>
      </c>
      <c r="F761" t="s">
        <v>1028</v>
      </c>
      <c r="G761">
        <v>0.5</v>
      </c>
      <c r="Q761" s="1"/>
      <c r="R761" s="1"/>
    </row>
    <row r="762" spans="1:18" ht="15.75" customHeight="1" x14ac:dyDescent="0.25">
      <c r="A762" s="2">
        <v>5443299</v>
      </c>
      <c r="B762">
        <v>5443299</v>
      </c>
      <c r="C762" t="str">
        <f>HYPERLINK("https://ois.dk/map/5443299/sfe", "Link")</f>
        <v>Link</v>
      </c>
      <c r="D762" t="s">
        <v>1029</v>
      </c>
      <c r="E762" s="17">
        <v>0.5</v>
      </c>
      <c r="F762" t="s">
        <v>1030</v>
      </c>
      <c r="G762">
        <v>0.5</v>
      </c>
      <c r="Q762" s="1"/>
      <c r="R762" s="1"/>
    </row>
    <row r="763" spans="1:18" ht="15.75" customHeight="1" x14ac:dyDescent="0.25">
      <c r="A763" s="2">
        <v>5443299</v>
      </c>
      <c r="B763">
        <v>5443299</v>
      </c>
      <c r="C763" t="str">
        <f>HYPERLINK("https://ois.dk/map/5443299/sfe", "Link")</f>
        <v>Link</v>
      </c>
      <c r="D763" t="s">
        <v>1029</v>
      </c>
      <c r="E763" s="17">
        <v>0.5</v>
      </c>
      <c r="F763" t="s">
        <v>1030</v>
      </c>
      <c r="G763">
        <v>0.5</v>
      </c>
      <c r="Q763" s="1"/>
      <c r="R763" s="1"/>
    </row>
    <row r="764" spans="1:18" ht="15.75" customHeight="1" x14ac:dyDescent="0.25">
      <c r="A764" s="2">
        <v>5443300</v>
      </c>
      <c r="B764">
        <v>5443300</v>
      </c>
      <c r="C764" t="str">
        <f>HYPERLINK("https://ois.dk/map/5443300/sfe", "Link")</f>
        <v>Link</v>
      </c>
      <c r="D764" t="s">
        <v>1031</v>
      </c>
      <c r="E764" s="17">
        <v>0.5</v>
      </c>
      <c r="F764" t="s">
        <v>1032</v>
      </c>
      <c r="G764">
        <v>0.5</v>
      </c>
      <c r="Q764" s="1"/>
      <c r="R764" s="1"/>
    </row>
    <row r="765" spans="1:18" ht="15.75" customHeight="1" x14ac:dyDescent="0.25">
      <c r="A765" s="2">
        <v>5443301</v>
      </c>
      <c r="B765">
        <v>5443301</v>
      </c>
      <c r="C765" t="str">
        <f>HYPERLINK("https://ois.dk/map/5443301/sfe", "Link")</f>
        <v>Link</v>
      </c>
      <c r="D765" t="s">
        <v>1033</v>
      </c>
      <c r="E765" s="17">
        <v>0.5</v>
      </c>
      <c r="F765" t="s">
        <v>1034</v>
      </c>
      <c r="G765">
        <v>0.5</v>
      </c>
      <c r="Q765" s="1"/>
      <c r="R765" s="1"/>
    </row>
    <row r="766" spans="1:18" ht="15.75" customHeight="1" x14ac:dyDescent="0.25">
      <c r="A766" s="2">
        <v>5443302</v>
      </c>
      <c r="B766">
        <v>5443302</v>
      </c>
      <c r="C766" t="str">
        <f>HYPERLINK("https://ois.dk/map/5443302/sfe", "Link")</f>
        <v>Link</v>
      </c>
      <c r="D766" t="s">
        <v>1035</v>
      </c>
      <c r="E766" s="17">
        <v>0.5</v>
      </c>
      <c r="F766" t="s">
        <v>1036</v>
      </c>
      <c r="G766">
        <v>0.5</v>
      </c>
      <c r="Q766" s="1"/>
      <c r="R766" s="1"/>
    </row>
    <row r="767" spans="1:18" ht="15.75" customHeight="1" x14ac:dyDescent="0.25">
      <c r="A767" s="2">
        <v>5443303</v>
      </c>
      <c r="B767">
        <v>5443303</v>
      </c>
      <c r="C767" t="str">
        <f>HYPERLINK("https://ois.dk/map/5443303/sfe", "Link")</f>
        <v>Link</v>
      </c>
      <c r="D767" t="s">
        <v>1037</v>
      </c>
      <c r="E767" s="17">
        <v>0.5</v>
      </c>
      <c r="F767" t="s">
        <v>1038</v>
      </c>
      <c r="G767">
        <v>0.5</v>
      </c>
      <c r="Q767" s="1"/>
      <c r="R767" s="1"/>
    </row>
    <row r="768" spans="1:18" ht="15.75" customHeight="1" x14ac:dyDescent="0.25">
      <c r="A768" s="2">
        <v>5443304</v>
      </c>
      <c r="B768">
        <v>5443304</v>
      </c>
      <c r="C768" t="str">
        <f>HYPERLINK("https://ois.dk/map/5443304/sfe", "Link")</f>
        <v>Link</v>
      </c>
      <c r="D768" t="s">
        <v>1039</v>
      </c>
      <c r="E768" s="17">
        <v>0.5</v>
      </c>
      <c r="F768" t="s">
        <v>1040</v>
      </c>
      <c r="G768">
        <v>0.5</v>
      </c>
      <c r="Q768" s="1"/>
      <c r="R768" s="1"/>
    </row>
    <row r="769" spans="1:18" ht="15.75" customHeight="1" x14ac:dyDescent="0.25">
      <c r="A769" s="2">
        <v>5443305</v>
      </c>
      <c r="B769">
        <v>5443305</v>
      </c>
      <c r="C769" t="str">
        <f>HYPERLINK("https://ois.dk/map/5443305/sfe", "Link")</f>
        <v>Link</v>
      </c>
      <c r="D769" t="s">
        <v>1041</v>
      </c>
      <c r="E769" s="17">
        <v>0.5</v>
      </c>
      <c r="F769" t="s">
        <v>1042</v>
      </c>
      <c r="G769">
        <v>0.5</v>
      </c>
      <c r="Q769" s="1"/>
      <c r="R769" s="1"/>
    </row>
    <row r="770" spans="1:18" ht="15.75" customHeight="1" x14ac:dyDescent="0.25">
      <c r="A770" s="2">
        <v>5443306</v>
      </c>
      <c r="B770">
        <v>5443306</v>
      </c>
      <c r="C770" t="str">
        <f>HYPERLINK("https://ois.dk/map/5443306/sfe", "Link")</f>
        <v>Link</v>
      </c>
      <c r="D770" t="s">
        <v>1043</v>
      </c>
      <c r="E770" s="17">
        <v>0.5</v>
      </c>
      <c r="F770" t="s">
        <v>1044</v>
      </c>
      <c r="G770">
        <v>0.5</v>
      </c>
      <c r="Q770" s="1"/>
      <c r="R770" s="1"/>
    </row>
    <row r="771" spans="1:18" ht="15.75" customHeight="1" x14ac:dyDescent="0.25">
      <c r="A771" s="2">
        <v>5443307</v>
      </c>
      <c r="B771">
        <v>5443307</v>
      </c>
      <c r="C771" t="str">
        <f>HYPERLINK("https://ois.dk/map/5443307/sfe", "Link")</f>
        <v>Link</v>
      </c>
      <c r="D771" t="s">
        <v>1045</v>
      </c>
      <c r="E771" s="17">
        <v>0.5</v>
      </c>
      <c r="F771" t="s">
        <v>1046</v>
      </c>
      <c r="G771">
        <v>0.5</v>
      </c>
      <c r="Q771" s="1"/>
      <c r="R771" s="1"/>
    </row>
    <row r="772" spans="1:18" ht="15.75" customHeight="1" x14ac:dyDescent="0.25">
      <c r="A772" s="2">
        <v>5443308</v>
      </c>
      <c r="B772">
        <v>5443308</v>
      </c>
      <c r="C772" t="str">
        <f>HYPERLINK("https://ois.dk/map/5443308/sfe", "Link")</f>
        <v>Link</v>
      </c>
      <c r="D772" t="s">
        <v>1047</v>
      </c>
      <c r="E772" s="17">
        <v>0.5</v>
      </c>
      <c r="F772" t="s">
        <v>1048</v>
      </c>
      <c r="G772">
        <v>0.5</v>
      </c>
      <c r="Q772" s="1"/>
      <c r="R772" s="1"/>
    </row>
    <row r="773" spans="1:18" ht="15.75" customHeight="1" x14ac:dyDescent="0.25">
      <c r="A773" s="2">
        <v>5443309</v>
      </c>
      <c r="B773">
        <v>5443309</v>
      </c>
      <c r="C773" t="str">
        <f>HYPERLINK("https://ois.dk/map/5443309/sfe", "Link")</f>
        <v>Link</v>
      </c>
      <c r="D773" t="s">
        <v>1049</v>
      </c>
      <c r="E773" s="17">
        <v>0.5</v>
      </c>
      <c r="F773" t="s">
        <v>1050</v>
      </c>
      <c r="G773">
        <v>0.5</v>
      </c>
      <c r="Q773" s="1"/>
      <c r="R773" s="1"/>
    </row>
    <row r="774" spans="1:18" ht="15.75" customHeight="1" x14ac:dyDescent="0.25">
      <c r="A774" s="2">
        <v>5443310</v>
      </c>
      <c r="B774">
        <v>5443310</v>
      </c>
      <c r="C774" t="str">
        <f>HYPERLINK("https://ois.dk/map/5443310/sfe", "Link")</f>
        <v>Link</v>
      </c>
      <c r="D774" t="s">
        <v>1051</v>
      </c>
      <c r="E774" s="17">
        <v>0.5</v>
      </c>
      <c r="F774" t="s">
        <v>1052</v>
      </c>
      <c r="G774">
        <v>0.5</v>
      </c>
      <c r="Q774" s="1"/>
      <c r="R774" s="1"/>
    </row>
    <row r="775" spans="1:18" ht="15.75" customHeight="1" x14ac:dyDescent="0.25">
      <c r="A775" s="2">
        <v>5443312</v>
      </c>
      <c r="B775">
        <v>5443312</v>
      </c>
      <c r="C775" t="str">
        <f>HYPERLINK("https://ois.dk/map/5443312/sfe", "Link")</f>
        <v>Link</v>
      </c>
      <c r="D775" t="s">
        <v>1053</v>
      </c>
      <c r="E775" s="17">
        <v>0.5</v>
      </c>
      <c r="F775" t="s">
        <v>1054</v>
      </c>
      <c r="G775">
        <v>0.5</v>
      </c>
      <c r="Q775" s="1"/>
      <c r="R775" s="1"/>
    </row>
    <row r="776" spans="1:18" ht="15.75" customHeight="1" x14ac:dyDescent="0.25">
      <c r="A776" s="2">
        <v>5443313</v>
      </c>
      <c r="B776">
        <v>5443313</v>
      </c>
      <c r="C776" t="str">
        <f>HYPERLINK("https://ois.dk/map/5443313/sfe", "Link")</f>
        <v>Link</v>
      </c>
      <c r="D776" t="s">
        <v>1055</v>
      </c>
      <c r="E776" s="17">
        <v>0.5</v>
      </c>
      <c r="F776" t="s">
        <v>1056</v>
      </c>
      <c r="G776">
        <v>0.5</v>
      </c>
      <c r="Q776" s="1"/>
      <c r="R776" s="1"/>
    </row>
    <row r="777" spans="1:18" ht="15.75" customHeight="1" x14ac:dyDescent="0.25">
      <c r="A777" s="2">
        <v>5443313</v>
      </c>
      <c r="B777">
        <v>5443313</v>
      </c>
      <c r="C777" t="str">
        <f>HYPERLINK("https://ois.dk/map/5443313/sfe", "Link")</f>
        <v>Link</v>
      </c>
      <c r="D777" t="s">
        <v>1055</v>
      </c>
      <c r="E777" s="17">
        <v>0.5</v>
      </c>
      <c r="F777" t="s">
        <v>1057</v>
      </c>
      <c r="G777">
        <v>0.5</v>
      </c>
      <c r="Q777" s="1"/>
      <c r="R777" s="1"/>
    </row>
    <row r="778" spans="1:18" ht="15.75" customHeight="1" x14ac:dyDescent="0.25">
      <c r="A778" s="2">
        <v>5443313</v>
      </c>
      <c r="B778">
        <v>5443313</v>
      </c>
      <c r="C778" t="str">
        <f>HYPERLINK("https://ois.dk/map/5443313/sfe", "Link")</f>
        <v>Link</v>
      </c>
      <c r="D778" t="s">
        <v>1055</v>
      </c>
      <c r="E778" s="17">
        <v>0.5</v>
      </c>
      <c r="F778" t="s">
        <v>1058</v>
      </c>
      <c r="G778">
        <v>0.5</v>
      </c>
      <c r="Q778" s="1"/>
      <c r="R778" s="1"/>
    </row>
    <row r="779" spans="1:18" ht="15.75" customHeight="1" x14ac:dyDescent="0.25">
      <c r="A779" s="2">
        <v>5443313</v>
      </c>
      <c r="B779">
        <v>5443313</v>
      </c>
      <c r="C779" t="str">
        <f>HYPERLINK("https://ois.dk/map/5443313/sfe", "Link")</f>
        <v>Link</v>
      </c>
      <c r="D779" t="s">
        <v>1055</v>
      </c>
      <c r="E779" s="17">
        <v>0.5</v>
      </c>
      <c r="F779" t="s">
        <v>1059</v>
      </c>
      <c r="G779">
        <v>0.5</v>
      </c>
      <c r="Q779" s="1"/>
      <c r="R779" s="1"/>
    </row>
    <row r="780" spans="1:18" ht="15.75" customHeight="1" x14ac:dyDescent="0.25">
      <c r="A780" s="2">
        <v>5443314</v>
      </c>
      <c r="B780">
        <v>5443314</v>
      </c>
      <c r="C780" t="str">
        <f>HYPERLINK("https://ois.dk/map/5443314/sfe", "Link")</f>
        <v>Link</v>
      </c>
      <c r="D780" t="s">
        <v>1060</v>
      </c>
      <c r="E780" s="17">
        <v>0.5</v>
      </c>
      <c r="F780" t="s">
        <v>1061</v>
      </c>
      <c r="G780">
        <v>0.5</v>
      </c>
      <c r="Q780" s="1"/>
      <c r="R780" s="1"/>
    </row>
    <row r="781" spans="1:18" ht="15.75" customHeight="1" x14ac:dyDescent="0.25">
      <c r="A781" s="2">
        <v>5443314</v>
      </c>
      <c r="B781">
        <v>5443314</v>
      </c>
      <c r="C781" t="str">
        <f>HYPERLINK("https://ois.dk/map/5443314/sfe", "Link")</f>
        <v>Link</v>
      </c>
      <c r="D781" t="s">
        <v>1060</v>
      </c>
      <c r="E781" s="17">
        <v>0.5</v>
      </c>
      <c r="F781" t="s">
        <v>1062</v>
      </c>
      <c r="G781">
        <v>0.5</v>
      </c>
      <c r="Q781" s="1"/>
      <c r="R781" s="1"/>
    </row>
    <row r="782" spans="1:18" ht="15.75" customHeight="1" x14ac:dyDescent="0.25">
      <c r="A782" s="2">
        <v>5443314</v>
      </c>
      <c r="B782">
        <v>5443314</v>
      </c>
      <c r="C782" t="str">
        <f>HYPERLINK("https://ois.dk/map/5443314/sfe", "Link")</f>
        <v>Link</v>
      </c>
      <c r="D782" t="s">
        <v>1060</v>
      </c>
      <c r="E782" s="17">
        <v>0.5</v>
      </c>
      <c r="F782" t="s">
        <v>1063</v>
      </c>
      <c r="G782">
        <v>0.5</v>
      </c>
      <c r="Q782" s="1"/>
      <c r="R782" s="1"/>
    </row>
    <row r="783" spans="1:18" ht="15.75" customHeight="1" x14ac:dyDescent="0.25">
      <c r="A783" s="2">
        <v>5443314</v>
      </c>
      <c r="B783">
        <v>5443314</v>
      </c>
      <c r="C783" t="str">
        <f>HYPERLINK("https://ois.dk/map/5443314/sfe", "Link")</f>
        <v>Link</v>
      </c>
      <c r="D783" t="s">
        <v>1060</v>
      </c>
      <c r="E783" s="17">
        <v>0.5</v>
      </c>
      <c r="F783" t="s">
        <v>1064</v>
      </c>
      <c r="G783">
        <v>0.5</v>
      </c>
      <c r="Q783" s="1"/>
      <c r="R783" s="1"/>
    </row>
    <row r="784" spans="1:18" ht="15.75" customHeight="1" x14ac:dyDescent="0.25">
      <c r="A784" s="2">
        <v>5443314</v>
      </c>
      <c r="B784">
        <v>5443314</v>
      </c>
      <c r="C784" t="str">
        <f>HYPERLINK("https://ois.dk/map/5443314/sfe", "Link")</f>
        <v>Link</v>
      </c>
      <c r="D784" t="s">
        <v>1060</v>
      </c>
      <c r="E784" s="17">
        <v>0.5</v>
      </c>
      <c r="F784" t="s">
        <v>1065</v>
      </c>
      <c r="G784">
        <v>0.5</v>
      </c>
      <c r="Q784" s="1"/>
      <c r="R784" s="1"/>
    </row>
    <row r="785" spans="1:18" ht="15.75" customHeight="1" x14ac:dyDescent="0.25">
      <c r="A785" s="2">
        <v>5443315</v>
      </c>
      <c r="B785">
        <v>5443315</v>
      </c>
      <c r="C785" t="str">
        <f>HYPERLINK("https://ois.dk/map/5443315/sfe", "Link")</f>
        <v>Link</v>
      </c>
      <c r="D785" t="s">
        <v>1066</v>
      </c>
      <c r="E785" s="17">
        <v>0.5</v>
      </c>
      <c r="F785" t="s">
        <v>1067</v>
      </c>
      <c r="G785">
        <v>0.5</v>
      </c>
      <c r="Q785" s="1"/>
      <c r="R785" s="1"/>
    </row>
    <row r="786" spans="1:18" ht="15.75" customHeight="1" x14ac:dyDescent="0.25">
      <c r="A786" s="2">
        <v>5443315</v>
      </c>
      <c r="B786">
        <v>5443315</v>
      </c>
      <c r="C786" t="str">
        <f>HYPERLINK("https://ois.dk/map/5443315/sfe", "Link")</f>
        <v>Link</v>
      </c>
      <c r="D786" t="s">
        <v>1066</v>
      </c>
      <c r="E786" s="17">
        <v>0.5</v>
      </c>
      <c r="F786" t="s">
        <v>1068</v>
      </c>
      <c r="G786">
        <v>0.5</v>
      </c>
      <c r="Q786" s="1"/>
      <c r="R786" s="1"/>
    </row>
    <row r="787" spans="1:18" ht="15.75" customHeight="1" x14ac:dyDescent="0.25">
      <c r="A787" s="2">
        <v>5443318</v>
      </c>
      <c r="B787">
        <v>5443318</v>
      </c>
      <c r="C787" t="str">
        <f>HYPERLINK("https://ois.dk/map/5443318/sfe", "Link")</f>
        <v>Link</v>
      </c>
      <c r="D787" t="s">
        <v>1069</v>
      </c>
      <c r="E787" s="17">
        <v>0.5</v>
      </c>
      <c r="F787" t="s">
        <v>1070</v>
      </c>
      <c r="G787">
        <v>0.5</v>
      </c>
      <c r="Q787" s="1"/>
      <c r="R787" s="1"/>
    </row>
    <row r="788" spans="1:18" ht="15.75" customHeight="1" x14ac:dyDescent="0.25">
      <c r="A788" s="2">
        <v>5443319</v>
      </c>
      <c r="B788">
        <v>5443319</v>
      </c>
      <c r="C788" t="str">
        <f>HYPERLINK("https://ois.dk/map/5443319/sfe", "Link")</f>
        <v>Link</v>
      </c>
      <c r="D788" t="s">
        <v>1071</v>
      </c>
      <c r="E788" s="17">
        <v>0.5</v>
      </c>
      <c r="F788" t="s">
        <v>1072</v>
      </c>
      <c r="G788">
        <v>0.5</v>
      </c>
      <c r="Q788" s="1"/>
      <c r="R788" s="1"/>
    </row>
    <row r="789" spans="1:18" ht="15.75" customHeight="1" x14ac:dyDescent="0.25">
      <c r="A789" s="2">
        <v>5443319</v>
      </c>
      <c r="B789">
        <v>5443319</v>
      </c>
      <c r="C789" t="str">
        <f>HYPERLINK("https://ois.dk/map/5443319/sfe", "Link")</f>
        <v>Link</v>
      </c>
      <c r="D789" t="s">
        <v>1071</v>
      </c>
      <c r="E789" s="17">
        <v>0.5</v>
      </c>
      <c r="F789" t="s">
        <v>1072</v>
      </c>
      <c r="G789">
        <v>0.5</v>
      </c>
      <c r="Q789" s="1"/>
      <c r="R789" s="1"/>
    </row>
    <row r="790" spans="1:18" ht="15.75" customHeight="1" x14ac:dyDescent="0.25">
      <c r="A790" s="2">
        <v>5443320</v>
      </c>
      <c r="B790">
        <v>5443320</v>
      </c>
      <c r="C790" t="str">
        <f>HYPERLINK("https://ois.dk/map/5443320/sfe", "Link")</f>
        <v>Link</v>
      </c>
      <c r="D790" t="s">
        <v>1073</v>
      </c>
      <c r="E790" s="17">
        <v>0.5</v>
      </c>
      <c r="F790" t="s">
        <v>1074</v>
      </c>
      <c r="G790">
        <v>0.5</v>
      </c>
      <c r="Q790" s="1"/>
      <c r="R790" s="1"/>
    </row>
    <row r="791" spans="1:18" ht="15.75" customHeight="1" x14ac:dyDescent="0.25">
      <c r="A791" s="2">
        <v>5443320</v>
      </c>
      <c r="B791">
        <v>5443320</v>
      </c>
      <c r="C791" t="str">
        <f>HYPERLINK("https://ois.dk/map/5443320/sfe", "Link")</f>
        <v>Link</v>
      </c>
      <c r="D791" t="s">
        <v>1073</v>
      </c>
      <c r="E791" s="17">
        <v>0.5</v>
      </c>
      <c r="F791" t="s">
        <v>1074</v>
      </c>
      <c r="G791">
        <v>0.5</v>
      </c>
      <c r="Q791" s="1"/>
      <c r="R791" s="1"/>
    </row>
    <row r="792" spans="1:18" ht="15.75" customHeight="1" x14ac:dyDescent="0.25">
      <c r="A792" s="2">
        <v>5443321</v>
      </c>
      <c r="B792">
        <v>5443321</v>
      </c>
      <c r="C792" t="str">
        <f>HYPERLINK("https://ois.dk/map/5443321/sfe", "Link")</f>
        <v>Link</v>
      </c>
      <c r="D792" t="s">
        <v>1075</v>
      </c>
      <c r="E792" s="17">
        <v>0.5</v>
      </c>
      <c r="F792" t="s">
        <v>1076</v>
      </c>
      <c r="G792">
        <v>0.5</v>
      </c>
      <c r="Q792" s="1"/>
      <c r="R792" s="1"/>
    </row>
    <row r="793" spans="1:18" ht="15.75" customHeight="1" x14ac:dyDescent="0.25">
      <c r="A793" s="2">
        <v>5443324</v>
      </c>
      <c r="B793">
        <v>5443324</v>
      </c>
      <c r="C793" t="str">
        <f>HYPERLINK("https://ois.dk/map/5443324/sfe", "Link")</f>
        <v>Link</v>
      </c>
      <c r="D793" t="s">
        <v>1077</v>
      </c>
      <c r="E793" s="17">
        <v>0.5</v>
      </c>
      <c r="F793" t="s">
        <v>1078</v>
      </c>
      <c r="G793">
        <v>0.5</v>
      </c>
      <c r="Q793" s="1"/>
      <c r="R793" s="1"/>
    </row>
    <row r="794" spans="1:18" ht="15.75" customHeight="1" x14ac:dyDescent="0.25">
      <c r="A794" s="2">
        <v>5443325</v>
      </c>
      <c r="B794">
        <v>5443325</v>
      </c>
      <c r="C794" t="str">
        <f>HYPERLINK("https://ois.dk/map/5443325/sfe", "Link")</f>
        <v>Link</v>
      </c>
      <c r="D794" t="s">
        <v>1079</v>
      </c>
      <c r="E794" s="17">
        <v>0.5</v>
      </c>
      <c r="F794" t="s">
        <v>1080</v>
      </c>
      <c r="G794">
        <v>0.5</v>
      </c>
      <c r="Q794" s="1"/>
      <c r="R794" s="1"/>
    </row>
    <row r="795" spans="1:18" ht="15.75" customHeight="1" x14ac:dyDescent="0.25">
      <c r="A795" s="2">
        <v>5443326</v>
      </c>
      <c r="B795">
        <v>5443326</v>
      </c>
      <c r="C795" t="str">
        <f>HYPERLINK("https://ois.dk/map/5443326/sfe", "Link")</f>
        <v>Link</v>
      </c>
      <c r="D795" t="s">
        <v>1081</v>
      </c>
      <c r="E795" s="17">
        <v>0.5</v>
      </c>
      <c r="F795" t="s">
        <v>1082</v>
      </c>
      <c r="G795">
        <v>0.5</v>
      </c>
      <c r="Q795" s="1"/>
      <c r="R795" s="1"/>
    </row>
    <row r="796" spans="1:18" ht="15.75" customHeight="1" x14ac:dyDescent="0.25">
      <c r="A796" s="2">
        <v>5443327</v>
      </c>
      <c r="B796">
        <v>5443327</v>
      </c>
      <c r="C796" t="str">
        <f>HYPERLINK("https://ois.dk/map/5443327/sfe", "Link")</f>
        <v>Link</v>
      </c>
      <c r="D796" t="s">
        <v>1083</v>
      </c>
      <c r="E796" s="17">
        <v>0.5</v>
      </c>
      <c r="F796" t="s">
        <v>1084</v>
      </c>
      <c r="G796">
        <v>0.5</v>
      </c>
      <c r="Q796" s="1"/>
      <c r="R796" s="1"/>
    </row>
    <row r="797" spans="1:18" ht="15.75" customHeight="1" x14ac:dyDescent="0.25">
      <c r="A797" s="2">
        <v>5443327</v>
      </c>
      <c r="B797">
        <v>5443327</v>
      </c>
      <c r="C797" t="str">
        <f>HYPERLINK("https://ois.dk/map/5443327/sfe", "Link")</f>
        <v>Link</v>
      </c>
      <c r="D797" t="s">
        <v>1083</v>
      </c>
      <c r="E797" s="17">
        <v>0.5</v>
      </c>
      <c r="F797" t="s">
        <v>1084</v>
      </c>
      <c r="G797">
        <v>0.5</v>
      </c>
      <c r="Q797" s="1"/>
      <c r="R797" s="1"/>
    </row>
    <row r="798" spans="1:18" ht="15.75" customHeight="1" x14ac:dyDescent="0.25">
      <c r="A798" s="2">
        <v>5443329</v>
      </c>
      <c r="B798">
        <v>5443329</v>
      </c>
      <c r="C798" t="str">
        <f>HYPERLINK("https://ois.dk/map/5443329/sfe", "Link")</f>
        <v>Link</v>
      </c>
      <c r="D798" t="s">
        <v>1085</v>
      </c>
      <c r="E798" s="17">
        <v>0.5</v>
      </c>
      <c r="F798" t="s">
        <v>1086</v>
      </c>
      <c r="G798">
        <v>0.5</v>
      </c>
      <c r="Q798" s="1"/>
      <c r="R798" s="1"/>
    </row>
    <row r="799" spans="1:18" ht="15.75" customHeight="1" x14ac:dyDescent="0.25">
      <c r="A799" s="2">
        <v>5443330</v>
      </c>
      <c r="B799">
        <v>5443330</v>
      </c>
      <c r="C799" t="str">
        <f>HYPERLINK("https://ois.dk/map/5443330/sfe", "Link")</f>
        <v>Link</v>
      </c>
      <c r="D799" t="s">
        <v>1087</v>
      </c>
      <c r="E799" s="17">
        <v>0.5</v>
      </c>
      <c r="F799" t="s">
        <v>1088</v>
      </c>
      <c r="G799">
        <v>0.5</v>
      </c>
      <c r="Q799" s="1"/>
      <c r="R799" s="1"/>
    </row>
    <row r="800" spans="1:18" ht="15.75" customHeight="1" x14ac:dyDescent="0.25">
      <c r="A800" s="2">
        <v>5443332</v>
      </c>
      <c r="B800">
        <v>5443332</v>
      </c>
      <c r="C800" t="str">
        <f>HYPERLINK("https://ois.dk/map/5443332/sfe", "Link")</f>
        <v>Link</v>
      </c>
      <c r="D800" t="s">
        <v>1089</v>
      </c>
      <c r="E800" s="17">
        <v>0.5</v>
      </c>
      <c r="F800" t="s">
        <v>1090</v>
      </c>
      <c r="G800">
        <v>0.5</v>
      </c>
      <c r="Q800" s="1"/>
      <c r="R800" s="1"/>
    </row>
    <row r="801" spans="1:18" ht="15.75" customHeight="1" x14ac:dyDescent="0.25">
      <c r="A801" s="2">
        <v>5443332</v>
      </c>
      <c r="B801">
        <v>5443332</v>
      </c>
      <c r="C801" t="str">
        <f>HYPERLINK("https://ois.dk/map/5443332/sfe", "Link")</f>
        <v>Link</v>
      </c>
      <c r="D801" t="s">
        <v>1089</v>
      </c>
      <c r="E801" s="17">
        <v>0.5</v>
      </c>
      <c r="F801" t="s">
        <v>1090</v>
      </c>
      <c r="G801">
        <v>0.5</v>
      </c>
      <c r="Q801" s="1"/>
      <c r="R801" s="1"/>
    </row>
    <row r="802" spans="1:18" ht="15.75" customHeight="1" x14ac:dyDescent="0.25">
      <c r="A802" s="2">
        <v>5443333</v>
      </c>
      <c r="B802">
        <v>5443333</v>
      </c>
      <c r="C802" t="str">
        <f>HYPERLINK("https://ois.dk/map/5443333/sfe", "Link")</f>
        <v>Link</v>
      </c>
      <c r="D802" t="s">
        <v>1091</v>
      </c>
      <c r="E802" s="17">
        <v>0.5</v>
      </c>
      <c r="F802" t="s">
        <v>1092</v>
      </c>
      <c r="G802">
        <v>0.5</v>
      </c>
      <c r="Q802" s="1"/>
      <c r="R802" s="1"/>
    </row>
    <row r="803" spans="1:18" ht="15.75" customHeight="1" x14ac:dyDescent="0.25">
      <c r="A803" s="2">
        <v>5443334</v>
      </c>
      <c r="B803">
        <v>5443334</v>
      </c>
      <c r="C803" t="str">
        <f>HYPERLINK("https://ois.dk/map/5443334/sfe", "Link")</f>
        <v>Link</v>
      </c>
      <c r="D803" t="s">
        <v>1093</v>
      </c>
      <c r="E803" s="17">
        <v>0.5</v>
      </c>
      <c r="F803" t="s">
        <v>1094</v>
      </c>
      <c r="G803">
        <v>0.5</v>
      </c>
      <c r="Q803" s="1"/>
      <c r="R803" s="1"/>
    </row>
    <row r="804" spans="1:18" ht="15.75" customHeight="1" x14ac:dyDescent="0.25">
      <c r="A804" s="2">
        <v>5443335</v>
      </c>
      <c r="B804">
        <v>5443335</v>
      </c>
      <c r="C804" t="str">
        <f>HYPERLINK("https://ois.dk/map/5443335/sfe", "Link")</f>
        <v>Link</v>
      </c>
      <c r="D804" t="s">
        <v>1095</v>
      </c>
      <c r="E804" s="17">
        <v>0.5</v>
      </c>
      <c r="F804" t="s">
        <v>1096</v>
      </c>
      <c r="G804">
        <v>0.5</v>
      </c>
      <c r="Q804" s="1"/>
      <c r="R804" s="1"/>
    </row>
    <row r="805" spans="1:18" ht="15.75" customHeight="1" x14ac:dyDescent="0.25">
      <c r="A805" s="2">
        <v>5443336</v>
      </c>
      <c r="B805">
        <v>5443336</v>
      </c>
      <c r="C805" t="str">
        <f t="shared" ref="C805:C811" si="28">HYPERLINK("https://ois.dk/map/5443336/sfe", "Link")</f>
        <v>Link</v>
      </c>
      <c r="D805" t="s">
        <v>1097</v>
      </c>
      <c r="E805" s="17">
        <v>0.5</v>
      </c>
      <c r="F805" t="s">
        <v>1098</v>
      </c>
      <c r="G805">
        <v>0.5</v>
      </c>
      <c r="Q805" s="1"/>
      <c r="R805" s="1"/>
    </row>
    <row r="806" spans="1:18" ht="15.75" customHeight="1" x14ac:dyDescent="0.25">
      <c r="A806" s="2">
        <v>5443336</v>
      </c>
      <c r="B806">
        <v>5443336</v>
      </c>
      <c r="C806" t="str">
        <f t="shared" si="28"/>
        <v>Link</v>
      </c>
      <c r="D806" t="s">
        <v>1097</v>
      </c>
      <c r="E806" s="17">
        <v>0.5</v>
      </c>
      <c r="F806" t="s">
        <v>1099</v>
      </c>
      <c r="G806">
        <v>0.5</v>
      </c>
      <c r="Q806" s="1"/>
      <c r="R806" s="1"/>
    </row>
    <row r="807" spans="1:18" ht="15.75" customHeight="1" x14ac:dyDescent="0.25">
      <c r="A807" s="2">
        <v>5443336</v>
      </c>
      <c r="B807">
        <v>5443336</v>
      </c>
      <c r="C807" t="str">
        <f t="shared" si="28"/>
        <v>Link</v>
      </c>
      <c r="D807" t="s">
        <v>1097</v>
      </c>
      <c r="E807" s="17">
        <v>0.5</v>
      </c>
      <c r="F807" t="s">
        <v>1100</v>
      </c>
      <c r="G807">
        <v>0.5</v>
      </c>
      <c r="Q807" s="1"/>
      <c r="R807" s="1"/>
    </row>
    <row r="808" spans="1:18" ht="15.75" customHeight="1" x14ac:dyDescent="0.25">
      <c r="A808" s="2">
        <v>5443336</v>
      </c>
      <c r="B808">
        <v>5443336</v>
      </c>
      <c r="C808" t="str">
        <f t="shared" si="28"/>
        <v>Link</v>
      </c>
      <c r="D808" t="s">
        <v>1097</v>
      </c>
      <c r="E808" s="17">
        <v>0.5</v>
      </c>
      <c r="F808" t="s">
        <v>1101</v>
      </c>
      <c r="G808">
        <v>0.5</v>
      </c>
      <c r="Q808" s="1"/>
      <c r="R808" s="1"/>
    </row>
    <row r="809" spans="1:18" ht="15.75" customHeight="1" x14ac:dyDescent="0.25">
      <c r="A809" s="2">
        <v>5443336</v>
      </c>
      <c r="B809">
        <v>5443336</v>
      </c>
      <c r="C809" t="str">
        <f t="shared" si="28"/>
        <v>Link</v>
      </c>
      <c r="D809" t="s">
        <v>1097</v>
      </c>
      <c r="E809" s="17">
        <v>0.5</v>
      </c>
      <c r="F809" t="s">
        <v>1102</v>
      </c>
      <c r="G809">
        <v>0.5</v>
      </c>
      <c r="Q809" s="1"/>
      <c r="R809" s="1"/>
    </row>
    <row r="810" spans="1:18" ht="15.75" customHeight="1" x14ac:dyDescent="0.25">
      <c r="A810" s="2">
        <v>5443336</v>
      </c>
      <c r="B810">
        <v>5443336</v>
      </c>
      <c r="C810" t="str">
        <f t="shared" si="28"/>
        <v>Link</v>
      </c>
      <c r="D810" t="s">
        <v>1097</v>
      </c>
      <c r="E810" s="17">
        <v>0.5</v>
      </c>
      <c r="F810" t="s">
        <v>1103</v>
      </c>
      <c r="G810">
        <v>0.5</v>
      </c>
      <c r="Q810" s="1"/>
      <c r="R810" s="1"/>
    </row>
    <row r="811" spans="1:18" ht="15.75" customHeight="1" x14ac:dyDescent="0.25">
      <c r="A811" s="2">
        <v>5443336</v>
      </c>
      <c r="B811">
        <v>5443336</v>
      </c>
      <c r="C811" t="str">
        <f t="shared" si="28"/>
        <v>Link</v>
      </c>
      <c r="D811" t="s">
        <v>1097</v>
      </c>
      <c r="E811" s="17">
        <v>0.5</v>
      </c>
      <c r="F811" t="s">
        <v>1104</v>
      </c>
      <c r="G811">
        <v>0.5</v>
      </c>
      <c r="Q811" s="1"/>
      <c r="R811" s="1"/>
    </row>
    <row r="812" spans="1:18" ht="15.75" customHeight="1" x14ac:dyDescent="0.25">
      <c r="A812" s="2">
        <v>5443337</v>
      </c>
      <c r="B812">
        <v>5443337</v>
      </c>
      <c r="C812" t="str">
        <f>HYPERLINK("https://ois.dk/map/5443337/sfe", "Link")</f>
        <v>Link</v>
      </c>
      <c r="D812" t="s">
        <v>1105</v>
      </c>
      <c r="E812" s="17">
        <v>0.5</v>
      </c>
      <c r="F812" t="s">
        <v>1106</v>
      </c>
      <c r="G812">
        <v>0.5</v>
      </c>
      <c r="Q812" s="1"/>
      <c r="R812" s="1"/>
    </row>
    <row r="813" spans="1:18" ht="15.75" customHeight="1" x14ac:dyDescent="0.25">
      <c r="A813" s="2">
        <v>5443338</v>
      </c>
      <c r="B813">
        <v>5443338</v>
      </c>
      <c r="C813" t="str">
        <f>HYPERLINK("https://ois.dk/map/5443338/sfe", "Link")</f>
        <v>Link</v>
      </c>
      <c r="D813" t="s">
        <v>1107</v>
      </c>
      <c r="E813" s="17">
        <v>0.5</v>
      </c>
      <c r="F813" t="s">
        <v>1108</v>
      </c>
      <c r="G813">
        <v>0.5</v>
      </c>
      <c r="Q813" s="1"/>
      <c r="R813" s="1"/>
    </row>
    <row r="814" spans="1:18" ht="15.75" customHeight="1" x14ac:dyDescent="0.25">
      <c r="A814" s="2">
        <v>5443339</v>
      </c>
      <c r="B814">
        <v>5443339</v>
      </c>
      <c r="C814" t="str">
        <f>HYPERLINK("https://ois.dk/map/5443339/sfe", "Link")</f>
        <v>Link</v>
      </c>
      <c r="D814" t="s">
        <v>1109</v>
      </c>
      <c r="E814" s="17">
        <v>0.5</v>
      </c>
      <c r="F814" t="s">
        <v>1110</v>
      </c>
      <c r="G814">
        <v>0.5</v>
      </c>
      <c r="Q814" s="1"/>
      <c r="R814" s="1"/>
    </row>
    <row r="815" spans="1:18" ht="15.75" customHeight="1" x14ac:dyDescent="0.25">
      <c r="A815" s="2">
        <v>5443340</v>
      </c>
      <c r="B815">
        <v>5443340</v>
      </c>
      <c r="C815" t="str">
        <f>HYPERLINK("https://ois.dk/map/5443340/sfe", "Link")</f>
        <v>Link</v>
      </c>
      <c r="D815" t="s">
        <v>1111</v>
      </c>
      <c r="E815" s="17">
        <v>0.5</v>
      </c>
      <c r="F815" t="s">
        <v>1112</v>
      </c>
      <c r="G815">
        <v>0.5</v>
      </c>
      <c r="Q815" s="1"/>
      <c r="R815" s="1"/>
    </row>
    <row r="816" spans="1:18" ht="15.75" customHeight="1" x14ac:dyDescent="0.25">
      <c r="A816" s="2">
        <v>5443341</v>
      </c>
      <c r="B816">
        <v>5443341</v>
      </c>
      <c r="C816" t="str">
        <f>HYPERLINK("https://ois.dk/map/5443341/sfe", "Link")</f>
        <v>Link</v>
      </c>
      <c r="D816" t="s">
        <v>1113</v>
      </c>
      <c r="E816" s="17">
        <v>0.5</v>
      </c>
      <c r="F816" t="s">
        <v>1114</v>
      </c>
      <c r="G816">
        <v>0.5</v>
      </c>
      <c r="Q816" s="1"/>
      <c r="R816" s="1"/>
    </row>
    <row r="817" spans="1:18" ht="15.75" customHeight="1" x14ac:dyDescent="0.25">
      <c r="A817" s="2">
        <v>5443346</v>
      </c>
      <c r="B817">
        <v>5443346</v>
      </c>
      <c r="C817" t="str">
        <f>HYPERLINK("https://ois.dk/map/5443346/sfe", "Link")</f>
        <v>Link</v>
      </c>
      <c r="D817" t="s">
        <v>1115</v>
      </c>
      <c r="E817" s="17">
        <v>0.5</v>
      </c>
      <c r="F817" t="s">
        <v>1116</v>
      </c>
      <c r="G817">
        <v>0.5</v>
      </c>
      <c r="Q817" s="1"/>
      <c r="R817" s="1"/>
    </row>
    <row r="818" spans="1:18" ht="15.75" customHeight="1" x14ac:dyDescent="0.25">
      <c r="A818" s="2">
        <v>5443346</v>
      </c>
      <c r="B818">
        <v>5443346</v>
      </c>
      <c r="C818" t="str">
        <f>HYPERLINK("https://ois.dk/map/5443346/sfe", "Link")</f>
        <v>Link</v>
      </c>
      <c r="D818" t="s">
        <v>1115</v>
      </c>
      <c r="E818" s="17">
        <v>0.5</v>
      </c>
      <c r="F818" t="s">
        <v>1117</v>
      </c>
      <c r="G818">
        <v>0.5</v>
      </c>
      <c r="Q818" s="1"/>
      <c r="R818" s="1"/>
    </row>
    <row r="819" spans="1:18" ht="15.75" customHeight="1" x14ac:dyDescent="0.25">
      <c r="A819" s="2">
        <v>5443347</v>
      </c>
      <c r="B819">
        <v>286838</v>
      </c>
      <c r="C819" t="str">
        <f t="shared" ref="C819:C828" si="29">HYPERLINK("https://ois.dk/map/286838/sfe", "Link")</f>
        <v>Link</v>
      </c>
      <c r="D819" t="s">
        <v>1118</v>
      </c>
      <c r="E819" s="17">
        <v>0.5</v>
      </c>
      <c r="F819" t="s">
        <v>1119</v>
      </c>
      <c r="G819">
        <v>0.5</v>
      </c>
      <c r="Q819" s="1"/>
      <c r="R819" s="1"/>
    </row>
    <row r="820" spans="1:18" ht="15.75" customHeight="1" x14ac:dyDescent="0.25">
      <c r="A820" s="2">
        <v>5443347</v>
      </c>
      <c r="B820">
        <v>286838</v>
      </c>
      <c r="C820" t="str">
        <f t="shared" si="29"/>
        <v>Link</v>
      </c>
      <c r="D820" t="s">
        <v>1118</v>
      </c>
      <c r="E820" s="17">
        <v>0.5</v>
      </c>
      <c r="F820" t="s">
        <v>1120</v>
      </c>
      <c r="G820">
        <v>0.5</v>
      </c>
      <c r="Q820" s="1"/>
      <c r="R820" s="1"/>
    </row>
    <row r="821" spans="1:18" ht="15.75" customHeight="1" x14ac:dyDescent="0.25">
      <c r="A821" s="2">
        <v>5443347</v>
      </c>
      <c r="B821">
        <v>286838</v>
      </c>
      <c r="C821" t="str">
        <f t="shared" si="29"/>
        <v>Link</v>
      </c>
      <c r="D821" t="s">
        <v>1118</v>
      </c>
      <c r="E821" s="17">
        <v>0.5</v>
      </c>
      <c r="F821" t="s">
        <v>1121</v>
      </c>
      <c r="G821">
        <v>0.5</v>
      </c>
      <c r="Q821" s="1"/>
      <c r="R821" s="1"/>
    </row>
    <row r="822" spans="1:18" ht="15.75" customHeight="1" x14ac:dyDescent="0.25">
      <c r="A822" s="2">
        <v>5443347</v>
      </c>
      <c r="B822">
        <v>286838</v>
      </c>
      <c r="C822" t="str">
        <f t="shared" si="29"/>
        <v>Link</v>
      </c>
      <c r="D822" t="s">
        <v>1118</v>
      </c>
      <c r="E822" s="17">
        <v>0.5</v>
      </c>
      <c r="F822" t="s">
        <v>1122</v>
      </c>
      <c r="G822">
        <v>0.5</v>
      </c>
      <c r="Q822" s="1"/>
      <c r="R822" s="1"/>
    </row>
    <row r="823" spans="1:18" ht="15.75" customHeight="1" x14ac:dyDescent="0.25">
      <c r="A823" s="2">
        <v>5443347</v>
      </c>
      <c r="B823">
        <v>286838</v>
      </c>
      <c r="C823" t="str">
        <f t="shared" si="29"/>
        <v>Link</v>
      </c>
      <c r="D823" t="s">
        <v>1118</v>
      </c>
      <c r="E823" s="17">
        <v>0.5</v>
      </c>
      <c r="F823" t="s">
        <v>1123</v>
      </c>
      <c r="G823">
        <v>0.5</v>
      </c>
      <c r="Q823" s="1"/>
      <c r="R823" s="1"/>
    </row>
    <row r="824" spans="1:18" ht="15.75" customHeight="1" x14ac:dyDescent="0.25">
      <c r="A824" s="2">
        <v>5443347</v>
      </c>
      <c r="B824">
        <v>286838</v>
      </c>
      <c r="C824" t="str">
        <f t="shared" si="29"/>
        <v>Link</v>
      </c>
      <c r="D824" t="s">
        <v>1118</v>
      </c>
      <c r="E824" s="17">
        <v>0.5</v>
      </c>
      <c r="F824" t="s">
        <v>1124</v>
      </c>
      <c r="G824">
        <v>0.5</v>
      </c>
      <c r="Q824" s="1"/>
      <c r="R824" s="1"/>
    </row>
    <row r="825" spans="1:18" ht="15.75" customHeight="1" x14ac:dyDescent="0.25">
      <c r="A825" s="2">
        <v>5443347</v>
      </c>
      <c r="B825">
        <v>286838</v>
      </c>
      <c r="C825" t="str">
        <f t="shared" si="29"/>
        <v>Link</v>
      </c>
      <c r="D825" t="s">
        <v>1118</v>
      </c>
      <c r="E825" s="17">
        <v>0.5</v>
      </c>
      <c r="F825" t="s">
        <v>1125</v>
      </c>
      <c r="G825">
        <v>0.5</v>
      </c>
      <c r="Q825" s="1"/>
      <c r="R825" s="1"/>
    </row>
    <row r="826" spans="1:18" ht="15.75" customHeight="1" x14ac:dyDescent="0.25">
      <c r="A826" s="2">
        <v>5443347</v>
      </c>
      <c r="B826">
        <v>286838</v>
      </c>
      <c r="C826" t="str">
        <f t="shared" si="29"/>
        <v>Link</v>
      </c>
      <c r="D826" t="s">
        <v>1118</v>
      </c>
      <c r="E826" s="17">
        <v>0.5</v>
      </c>
      <c r="F826" t="s">
        <v>1126</v>
      </c>
      <c r="G826">
        <v>0.5</v>
      </c>
      <c r="Q826" s="1"/>
      <c r="R826" s="1"/>
    </row>
    <row r="827" spans="1:18" ht="15.75" customHeight="1" x14ac:dyDescent="0.25">
      <c r="A827" s="2">
        <v>5443347</v>
      </c>
      <c r="B827">
        <v>286838</v>
      </c>
      <c r="C827" t="str">
        <f t="shared" si="29"/>
        <v>Link</v>
      </c>
      <c r="D827" t="s">
        <v>1118</v>
      </c>
      <c r="E827" s="17">
        <v>0.5</v>
      </c>
      <c r="F827" t="s">
        <v>1127</v>
      </c>
      <c r="G827">
        <v>0.5</v>
      </c>
      <c r="Q827" s="1"/>
      <c r="R827" s="1"/>
    </row>
    <row r="828" spans="1:18" ht="15.75" customHeight="1" x14ac:dyDescent="0.25">
      <c r="A828" s="2">
        <v>5443347</v>
      </c>
      <c r="B828">
        <v>286838</v>
      </c>
      <c r="C828" t="str">
        <f t="shared" si="29"/>
        <v>Link</v>
      </c>
      <c r="D828" t="s">
        <v>1118</v>
      </c>
      <c r="E828" s="17">
        <v>0.5</v>
      </c>
      <c r="F828" t="s">
        <v>1128</v>
      </c>
      <c r="G828">
        <v>0.5</v>
      </c>
      <c r="Q828" s="1"/>
      <c r="R828" s="1"/>
    </row>
    <row r="829" spans="1:18" ht="15.75" customHeight="1" x14ac:dyDescent="0.25">
      <c r="A829" s="2">
        <v>5443347</v>
      </c>
      <c r="B829">
        <v>286839</v>
      </c>
      <c r="C829" t="str">
        <f>HYPERLINK("https://ois.dk/map/286839/sfe", "Link")</f>
        <v>Link</v>
      </c>
      <c r="D829" t="s">
        <v>1118</v>
      </c>
      <c r="E829" s="17">
        <v>0.5</v>
      </c>
      <c r="F829" t="s">
        <v>1129</v>
      </c>
      <c r="G829">
        <v>0.5</v>
      </c>
      <c r="Q829" s="1"/>
      <c r="R829" s="1"/>
    </row>
    <row r="830" spans="1:18" ht="15.75" customHeight="1" x14ac:dyDescent="0.25">
      <c r="A830" s="2">
        <v>5443348</v>
      </c>
      <c r="B830">
        <v>5443348</v>
      </c>
      <c r="C830" t="str">
        <f>HYPERLINK("https://ois.dk/map/5443348/sfe", "Link")</f>
        <v>Link</v>
      </c>
      <c r="D830" t="s">
        <v>1130</v>
      </c>
      <c r="E830" s="17">
        <v>0.5</v>
      </c>
      <c r="F830" t="s">
        <v>1131</v>
      </c>
      <c r="G830">
        <v>0.5</v>
      </c>
      <c r="Q830" s="1"/>
      <c r="R830" s="1"/>
    </row>
    <row r="831" spans="1:18" ht="15.75" customHeight="1" x14ac:dyDescent="0.25">
      <c r="A831" s="2">
        <v>5443349</v>
      </c>
      <c r="B831">
        <v>5443349</v>
      </c>
      <c r="C831" t="str">
        <f>HYPERLINK("https://ois.dk/map/5443349/sfe", "Link")</f>
        <v>Link</v>
      </c>
      <c r="D831" t="s">
        <v>1132</v>
      </c>
      <c r="E831" s="17">
        <v>0.5</v>
      </c>
      <c r="F831" t="s">
        <v>1133</v>
      </c>
      <c r="G831">
        <v>0.5</v>
      </c>
      <c r="Q831" s="1"/>
      <c r="R831" s="1"/>
    </row>
    <row r="832" spans="1:18" ht="15.75" customHeight="1" x14ac:dyDescent="0.25">
      <c r="A832" s="2">
        <v>5443350</v>
      </c>
      <c r="B832">
        <v>5443350</v>
      </c>
      <c r="C832" t="str">
        <f>HYPERLINK("https://ois.dk/map/5443350/sfe", "Link")</f>
        <v>Link</v>
      </c>
      <c r="D832" t="s">
        <v>1134</v>
      </c>
      <c r="E832" s="17">
        <v>0.5</v>
      </c>
      <c r="F832" t="s">
        <v>1135</v>
      </c>
      <c r="G832">
        <v>0.5</v>
      </c>
      <c r="Q832" s="1"/>
      <c r="R832" s="1"/>
    </row>
    <row r="833" spans="1:18" ht="15.75" customHeight="1" x14ac:dyDescent="0.25">
      <c r="A833" s="2">
        <v>5443351</v>
      </c>
      <c r="B833">
        <v>5443351</v>
      </c>
      <c r="C833" t="str">
        <f>HYPERLINK("https://ois.dk/map/5443351/sfe", "Link")</f>
        <v>Link</v>
      </c>
      <c r="D833" t="s">
        <v>1136</v>
      </c>
      <c r="E833" s="17">
        <v>0.5</v>
      </c>
      <c r="F833" t="s">
        <v>1137</v>
      </c>
      <c r="G833">
        <v>0.5</v>
      </c>
      <c r="Q833" s="1"/>
      <c r="R833" s="1"/>
    </row>
    <row r="834" spans="1:18" ht="15.75" customHeight="1" x14ac:dyDescent="0.25">
      <c r="A834" s="2">
        <v>5443354</v>
      </c>
      <c r="B834">
        <v>5443354</v>
      </c>
      <c r="C834" t="str">
        <f>HYPERLINK("https://ois.dk/map/5443354/sfe", "Link")</f>
        <v>Link</v>
      </c>
      <c r="D834" t="s">
        <v>1138</v>
      </c>
      <c r="E834" s="17">
        <v>0.5</v>
      </c>
      <c r="F834" t="s">
        <v>1139</v>
      </c>
      <c r="G834">
        <v>0.5</v>
      </c>
      <c r="Q834" s="1"/>
      <c r="R834" s="1"/>
    </row>
    <row r="835" spans="1:18" ht="15.75" customHeight="1" x14ac:dyDescent="0.25">
      <c r="A835" s="2">
        <v>5443355</v>
      </c>
      <c r="B835">
        <v>5443355</v>
      </c>
      <c r="C835" t="str">
        <f>HYPERLINK("https://ois.dk/map/5443355/sfe", "Link")</f>
        <v>Link</v>
      </c>
      <c r="D835" t="s">
        <v>1140</v>
      </c>
      <c r="E835" s="17">
        <v>0.5</v>
      </c>
      <c r="F835" t="s">
        <v>1141</v>
      </c>
      <c r="G835">
        <v>0.5</v>
      </c>
      <c r="Q835" s="1"/>
      <c r="R835" s="1"/>
    </row>
    <row r="836" spans="1:18" ht="15.75" customHeight="1" x14ac:dyDescent="0.25">
      <c r="A836" s="2">
        <v>5443359</v>
      </c>
      <c r="B836">
        <v>5443359</v>
      </c>
      <c r="C836" t="str">
        <f>HYPERLINK("https://ois.dk/map/5443359/sfe", "Link")</f>
        <v>Link</v>
      </c>
      <c r="D836" t="s">
        <v>1142</v>
      </c>
      <c r="E836" s="17">
        <v>0.5</v>
      </c>
      <c r="F836" t="s">
        <v>1143</v>
      </c>
      <c r="G836">
        <v>0.5</v>
      </c>
      <c r="Q836" s="1"/>
      <c r="R836" s="1"/>
    </row>
    <row r="837" spans="1:18" ht="15.75" customHeight="1" x14ac:dyDescent="0.25">
      <c r="A837" s="2">
        <v>5443360</v>
      </c>
      <c r="B837">
        <v>5443360</v>
      </c>
      <c r="C837" t="str">
        <f>HYPERLINK("https://ois.dk/map/5443360/sfe", "Link")</f>
        <v>Link</v>
      </c>
      <c r="D837" t="s">
        <v>1144</v>
      </c>
      <c r="E837" s="17">
        <v>0.5</v>
      </c>
      <c r="F837" t="s">
        <v>1145</v>
      </c>
      <c r="G837">
        <v>0.5</v>
      </c>
      <c r="Q837" s="1"/>
      <c r="R837" s="1"/>
    </row>
    <row r="838" spans="1:18" ht="15.75" customHeight="1" x14ac:dyDescent="0.25">
      <c r="A838" s="2">
        <v>5443360</v>
      </c>
      <c r="B838">
        <v>5443360</v>
      </c>
      <c r="C838" t="str">
        <f>HYPERLINK("https://ois.dk/map/5443360/sfe", "Link")</f>
        <v>Link</v>
      </c>
      <c r="D838" t="s">
        <v>1144</v>
      </c>
      <c r="E838" s="17">
        <v>0.5</v>
      </c>
      <c r="F838" t="s">
        <v>1146</v>
      </c>
      <c r="G838">
        <v>0.5</v>
      </c>
      <c r="Q838" s="1"/>
      <c r="R838" s="1"/>
    </row>
    <row r="839" spans="1:18" ht="15.75" customHeight="1" x14ac:dyDescent="0.25">
      <c r="A839" s="2">
        <v>5443361</v>
      </c>
      <c r="B839">
        <v>5443361</v>
      </c>
      <c r="C839" t="str">
        <f>HYPERLINK("https://ois.dk/map/5443361/sfe", "Link")</f>
        <v>Link</v>
      </c>
      <c r="D839" t="s">
        <v>1147</v>
      </c>
      <c r="E839" s="17">
        <v>0.5</v>
      </c>
      <c r="F839" t="s">
        <v>1148</v>
      </c>
      <c r="G839">
        <v>0.5</v>
      </c>
      <c r="Q839" s="1"/>
      <c r="R839" s="1"/>
    </row>
    <row r="840" spans="1:18" ht="15.75" customHeight="1" x14ac:dyDescent="0.25">
      <c r="A840" s="2">
        <v>5443362</v>
      </c>
      <c r="B840">
        <v>5443362</v>
      </c>
      <c r="C840" t="str">
        <f>HYPERLINK("https://ois.dk/map/5443362/sfe", "Link")</f>
        <v>Link</v>
      </c>
      <c r="D840" t="s">
        <v>1149</v>
      </c>
      <c r="E840" s="17">
        <v>0.5</v>
      </c>
      <c r="F840" t="s">
        <v>1150</v>
      </c>
      <c r="G840">
        <v>0.5</v>
      </c>
      <c r="Q840" s="1"/>
      <c r="R840" s="1"/>
    </row>
    <row r="841" spans="1:18" ht="15.75" customHeight="1" x14ac:dyDescent="0.25">
      <c r="A841" s="2">
        <v>5443362</v>
      </c>
      <c r="B841">
        <v>5443362</v>
      </c>
      <c r="C841" t="str">
        <f>HYPERLINK("https://ois.dk/map/5443362/sfe", "Link")</f>
        <v>Link</v>
      </c>
      <c r="D841" t="s">
        <v>1149</v>
      </c>
      <c r="E841" s="17">
        <v>0.5</v>
      </c>
      <c r="F841" t="s">
        <v>1150</v>
      </c>
      <c r="G841">
        <v>0.5</v>
      </c>
      <c r="Q841" s="1"/>
      <c r="R841" s="1"/>
    </row>
    <row r="842" spans="1:18" ht="15.75" customHeight="1" x14ac:dyDescent="0.25">
      <c r="A842" s="2">
        <v>5443363</v>
      </c>
      <c r="B842">
        <v>5443363</v>
      </c>
      <c r="C842" t="str">
        <f>HYPERLINK("https://ois.dk/map/5443363/sfe", "Link")</f>
        <v>Link</v>
      </c>
      <c r="D842" t="s">
        <v>1151</v>
      </c>
      <c r="E842" s="17">
        <v>0.5</v>
      </c>
      <c r="F842" t="s">
        <v>1152</v>
      </c>
      <c r="G842">
        <v>0.5</v>
      </c>
      <c r="Q842" s="1"/>
      <c r="R842" s="1"/>
    </row>
    <row r="843" spans="1:18" ht="15.75" customHeight="1" x14ac:dyDescent="0.25">
      <c r="A843" s="2">
        <v>5443364</v>
      </c>
      <c r="B843">
        <v>5443364</v>
      </c>
      <c r="C843" t="str">
        <f>HYPERLINK("https://ois.dk/map/5443364/sfe", "Link")</f>
        <v>Link</v>
      </c>
      <c r="D843" t="s">
        <v>1153</v>
      </c>
      <c r="E843" s="17">
        <v>0.5</v>
      </c>
      <c r="F843" t="s">
        <v>1154</v>
      </c>
      <c r="G843">
        <v>0.5</v>
      </c>
      <c r="Q843" s="1"/>
      <c r="R843" s="1"/>
    </row>
    <row r="844" spans="1:18" ht="15.75" customHeight="1" x14ac:dyDescent="0.25">
      <c r="A844" s="2">
        <v>5443365</v>
      </c>
      <c r="B844">
        <v>5443365</v>
      </c>
      <c r="C844" t="str">
        <f>HYPERLINK("https://ois.dk/map/5443365/sfe", "Link")</f>
        <v>Link</v>
      </c>
      <c r="D844" t="s">
        <v>1155</v>
      </c>
      <c r="E844" s="17">
        <v>0.5</v>
      </c>
      <c r="F844" t="s">
        <v>1156</v>
      </c>
      <c r="G844">
        <v>0.5</v>
      </c>
      <c r="Q844" s="1"/>
      <c r="R844" s="1"/>
    </row>
    <row r="845" spans="1:18" ht="15.75" customHeight="1" x14ac:dyDescent="0.25">
      <c r="A845" s="2">
        <v>5443365</v>
      </c>
      <c r="B845">
        <v>5443365</v>
      </c>
      <c r="C845" t="str">
        <f>HYPERLINK("https://ois.dk/map/5443365/sfe", "Link")</f>
        <v>Link</v>
      </c>
      <c r="D845" t="s">
        <v>1155</v>
      </c>
      <c r="E845" s="17">
        <v>0.5</v>
      </c>
      <c r="F845" t="s">
        <v>1156</v>
      </c>
      <c r="G845">
        <v>0.5</v>
      </c>
      <c r="Q845" s="1"/>
      <c r="R845" s="1"/>
    </row>
    <row r="846" spans="1:18" ht="15.75" customHeight="1" x14ac:dyDescent="0.25">
      <c r="A846" s="2">
        <v>5443366</v>
      </c>
      <c r="B846">
        <v>5443366</v>
      </c>
      <c r="C846" t="str">
        <f>HYPERLINK("https://ois.dk/map/5443366/sfe", "Link")</f>
        <v>Link</v>
      </c>
      <c r="D846" t="s">
        <v>1157</v>
      </c>
      <c r="E846" s="17">
        <v>0.5</v>
      </c>
      <c r="F846" t="s">
        <v>1158</v>
      </c>
      <c r="G846">
        <v>0.5</v>
      </c>
      <c r="Q846" s="1"/>
      <c r="R846" s="1"/>
    </row>
    <row r="847" spans="1:18" ht="15.75" customHeight="1" x14ac:dyDescent="0.25">
      <c r="A847" s="2">
        <v>5443367</v>
      </c>
      <c r="B847">
        <v>5443367</v>
      </c>
      <c r="C847" t="str">
        <f>HYPERLINK("https://ois.dk/map/5443367/sfe", "Link")</f>
        <v>Link</v>
      </c>
      <c r="D847" t="s">
        <v>1159</v>
      </c>
      <c r="E847" s="17">
        <v>0.5</v>
      </c>
      <c r="F847" t="s">
        <v>1160</v>
      </c>
      <c r="G847">
        <v>0.5</v>
      </c>
      <c r="Q847" s="1"/>
      <c r="R847" s="1"/>
    </row>
    <row r="848" spans="1:18" ht="15.75" customHeight="1" x14ac:dyDescent="0.25">
      <c r="A848" s="2">
        <v>5443368</v>
      </c>
      <c r="B848">
        <v>5443368</v>
      </c>
      <c r="C848" t="str">
        <f>HYPERLINK("https://ois.dk/map/5443368/sfe", "Link")</f>
        <v>Link</v>
      </c>
      <c r="D848" t="s">
        <v>1161</v>
      </c>
      <c r="E848" s="17">
        <v>0.5</v>
      </c>
      <c r="F848" t="s">
        <v>1162</v>
      </c>
      <c r="G848">
        <v>0.5</v>
      </c>
      <c r="Q848" s="1"/>
      <c r="R848" s="1"/>
    </row>
    <row r="849" spans="1:18" ht="15.75" customHeight="1" x14ac:dyDescent="0.25">
      <c r="A849" s="2">
        <v>5443370</v>
      </c>
      <c r="B849">
        <v>5443370</v>
      </c>
      <c r="C849" t="str">
        <f>HYPERLINK("https://ois.dk/map/5443370/sfe", "Link")</f>
        <v>Link</v>
      </c>
      <c r="D849" t="s">
        <v>1163</v>
      </c>
      <c r="E849" s="17">
        <v>0.5</v>
      </c>
      <c r="F849" t="s">
        <v>1164</v>
      </c>
      <c r="G849">
        <v>0.5</v>
      </c>
      <c r="Q849" s="1"/>
      <c r="R849" s="1"/>
    </row>
    <row r="850" spans="1:18" ht="15.75" customHeight="1" x14ac:dyDescent="0.25">
      <c r="A850" s="2">
        <v>5443371</v>
      </c>
      <c r="B850">
        <v>5443371</v>
      </c>
      <c r="C850" t="str">
        <f>HYPERLINK("https://ois.dk/map/5443371/sfe", "Link")</f>
        <v>Link</v>
      </c>
      <c r="D850" t="s">
        <v>1165</v>
      </c>
      <c r="E850" s="17">
        <v>0.5</v>
      </c>
      <c r="F850" t="s">
        <v>1166</v>
      </c>
      <c r="G850">
        <v>0.5</v>
      </c>
      <c r="Q850" s="1"/>
      <c r="R850" s="1"/>
    </row>
    <row r="851" spans="1:18" ht="15.75" customHeight="1" x14ac:dyDescent="0.25">
      <c r="A851" s="2">
        <v>5443373</v>
      </c>
      <c r="B851">
        <v>5443373</v>
      </c>
      <c r="C851" t="str">
        <f>HYPERLINK("https://ois.dk/map/5443373/sfe", "Link")</f>
        <v>Link</v>
      </c>
      <c r="D851" t="s">
        <v>1167</v>
      </c>
      <c r="E851" s="17">
        <v>0.5</v>
      </c>
      <c r="F851" t="s">
        <v>1168</v>
      </c>
      <c r="G851">
        <v>0.5</v>
      </c>
      <c r="Q851" s="1"/>
      <c r="R851" s="1"/>
    </row>
    <row r="852" spans="1:18" ht="15.75" customHeight="1" x14ac:dyDescent="0.25">
      <c r="A852" s="2">
        <v>5443374</v>
      </c>
      <c r="B852">
        <v>5443374</v>
      </c>
      <c r="C852" t="str">
        <f>HYPERLINK("https://ois.dk/map/5443374/sfe", "Link")</f>
        <v>Link</v>
      </c>
      <c r="D852" t="s">
        <v>1169</v>
      </c>
      <c r="E852" s="17">
        <v>0.5</v>
      </c>
      <c r="F852" t="s">
        <v>1170</v>
      </c>
      <c r="G852">
        <v>0.5</v>
      </c>
      <c r="Q852" s="1"/>
      <c r="R852" s="1"/>
    </row>
    <row r="853" spans="1:18" ht="15.75" customHeight="1" x14ac:dyDescent="0.25">
      <c r="A853" s="2">
        <v>5443375</v>
      </c>
      <c r="B853">
        <v>5443375</v>
      </c>
      <c r="C853" t="str">
        <f>HYPERLINK("https://ois.dk/map/5443375/sfe", "Link")</f>
        <v>Link</v>
      </c>
      <c r="D853" t="s">
        <v>1171</v>
      </c>
      <c r="E853" s="17">
        <v>0.5</v>
      </c>
      <c r="F853" t="s">
        <v>1172</v>
      </c>
      <c r="G853">
        <v>0.5</v>
      </c>
      <c r="Q853" s="1"/>
      <c r="R853" s="1"/>
    </row>
    <row r="854" spans="1:18" ht="15.75" customHeight="1" x14ac:dyDescent="0.25">
      <c r="A854" s="2">
        <v>5443376</v>
      </c>
      <c r="B854">
        <v>5443376</v>
      </c>
      <c r="C854" t="str">
        <f>HYPERLINK("https://ois.dk/map/5443376/sfe", "Link")</f>
        <v>Link</v>
      </c>
      <c r="D854" t="s">
        <v>1173</v>
      </c>
      <c r="E854" s="17">
        <v>0.5</v>
      </c>
      <c r="F854" t="s">
        <v>1174</v>
      </c>
      <c r="G854">
        <v>0.5</v>
      </c>
      <c r="Q854" s="1"/>
      <c r="R854" s="1"/>
    </row>
    <row r="855" spans="1:18" ht="15.75" customHeight="1" x14ac:dyDescent="0.25">
      <c r="A855" s="2">
        <v>5443377</v>
      </c>
      <c r="B855">
        <v>5443377</v>
      </c>
      <c r="C855" t="str">
        <f>HYPERLINK("https://ois.dk/map/5443377/sfe", "Link")</f>
        <v>Link</v>
      </c>
      <c r="D855" t="s">
        <v>1175</v>
      </c>
      <c r="E855" s="17">
        <v>0.5</v>
      </c>
      <c r="F855" t="s">
        <v>1176</v>
      </c>
      <c r="G855">
        <v>0.5</v>
      </c>
      <c r="Q855" s="1"/>
      <c r="R855" s="1"/>
    </row>
    <row r="856" spans="1:18" ht="15.75" customHeight="1" x14ac:dyDescent="0.25">
      <c r="A856" s="2">
        <v>5443379</v>
      </c>
      <c r="B856">
        <v>5443379</v>
      </c>
      <c r="C856" t="str">
        <f>HYPERLINK("https://ois.dk/map/5443379/sfe", "Link")</f>
        <v>Link</v>
      </c>
      <c r="D856" t="s">
        <v>1177</v>
      </c>
      <c r="E856" s="17">
        <v>0.5</v>
      </c>
      <c r="F856" t="s">
        <v>1178</v>
      </c>
      <c r="G856">
        <v>0.5</v>
      </c>
      <c r="Q856" s="1"/>
      <c r="R856" s="1"/>
    </row>
    <row r="857" spans="1:18" ht="15.75" customHeight="1" x14ac:dyDescent="0.25">
      <c r="A857" s="2">
        <v>5443383</v>
      </c>
      <c r="B857">
        <v>5443383</v>
      </c>
      <c r="C857" t="str">
        <f>HYPERLINK("https://ois.dk/map/5443383/sfe", "Link")</f>
        <v>Link</v>
      </c>
      <c r="D857" t="s">
        <v>1179</v>
      </c>
      <c r="E857" s="17">
        <v>0.5</v>
      </c>
      <c r="F857" t="s">
        <v>1180</v>
      </c>
      <c r="G857">
        <v>0.5</v>
      </c>
      <c r="Q857" s="1"/>
      <c r="R857" s="1"/>
    </row>
    <row r="858" spans="1:18" ht="15.75" customHeight="1" x14ac:dyDescent="0.25">
      <c r="A858" s="2">
        <v>5443391</v>
      </c>
      <c r="B858">
        <v>5443391</v>
      </c>
      <c r="C858" t="str">
        <f>HYPERLINK("https://ois.dk/map/5443391/sfe", "Link")</f>
        <v>Link</v>
      </c>
      <c r="D858" t="s">
        <v>1181</v>
      </c>
      <c r="E858" s="17">
        <v>0.5</v>
      </c>
      <c r="G858">
        <v>0.5</v>
      </c>
      <c r="Q858" s="1"/>
      <c r="R858" s="1"/>
    </row>
    <row r="859" spans="1:18" ht="15.75" customHeight="1" x14ac:dyDescent="0.25">
      <c r="A859" s="2">
        <v>5443392</v>
      </c>
      <c r="B859">
        <v>5443392</v>
      </c>
      <c r="C859" t="str">
        <f>HYPERLINK("https://ois.dk/map/5443392/sfe", "Link")</f>
        <v>Link</v>
      </c>
      <c r="D859" t="s">
        <v>1182</v>
      </c>
      <c r="E859" s="17">
        <v>0.5</v>
      </c>
      <c r="F859" t="s">
        <v>1183</v>
      </c>
      <c r="G859">
        <v>0.5</v>
      </c>
      <c r="Q859" s="1"/>
      <c r="R859" s="1"/>
    </row>
    <row r="860" spans="1:18" ht="15.75" customHeight="1" x14ac:dyDescent="0.25">
      <c r="A860" s="2">
        <v>5443394</v>
      </c>
      <c r="B860">
        <v>5443394</v>
      </c>
      <c r="C860" t="str">
        <f>HYPERLINK("https://ois.dk/map/5443394/sfe", "Link")</f>
        <v>Link</v>
      </c>
      <c r="D860" t="s">
        <v>1184</v>
      </c>
      <c r="E860" s="17">
        <v>0.5</v>
      </c>
      <c r="F860" t="s">
        <v>1185</v>
      </c>
      <c r="G860">
        <v>0.5</v>
      </c>
      <c r="Q860" s="1"/>
      <c r="R860" s="1"/>
    </row>
    <row r="861" spans="1:18" ht="15.75" customHeight="1" x14ac:dyDescent="0.25">
      <c r="A861" s="2">
        <v>5443396</v>
      </c>
      <c r="B861">
        <v>5443396</v>
      </c>
      <c r="C861" t="str">
        <f>HYPERLINK("https://ois.dk/map/5443396/sfe", "Link")</f>
        <v>Link</v>
      </c>
      <c r="D861" t="s">
        <v>1186</v>
      </c>
      <c r="E861" s="17">
        <v>0.5</v>
      </c>
      <c r="F861" t="s">
        <v>1187</v>
      </c>
      <c r="G861">
        <v>0.5</v>
      </c>
      <c r="Q861" s="1"/>
      <c r="R861" s="1"/>
    </row>
    <row r="862" spans="1:18" ht="15.75" customHeight="1" x14ac:dyDescent="0.25">
      <c r="A862" s="2">
        <v>5443398</v>
      </c>
      <c r="B862">
        <v>5443398</v>
      </c>
      <c r="C862" t="str">
        <f>HYPERLINK("https://ois.dk/map/5443398/sfe", "Link")</f>
        <v>Link</v>
      </c>
      <c r="D862" t="s">
        <v>1188</v>
      </c>
      <c r="E862" s="17">
        <v>0.5</v>
      </c>
      <c r="F862" t="s">
        <v>1189</v>
      </c>
      <c r="G862">
        <v>0.5</v>
      </c>
      <c r="Q862" s="1"/>
      <c r="R862" s="1"/>
    </row>
    <row r="863" spans="1:18" ht="15.75" customHeight="1" x14ac:dyDescent="0.25">
      <c r="A863" s="2">
        <v>5443401</v>
      </c>
      <c r="B863">
        <v>5443401</v>
      </c>
      <c r="C863" t="str">
        <f>HYPERLINK("https://ois.dk/map/5443401/sfe", "Link")</f>
        <v>Link</v>
      </c>
      <c r="D863" t="s">
        <v>1190</v>
      </c>
      <c r="E863" s="17">
        <v>0.5</v>
      </c>
      <c r="F863" t="s">
        <v>1191</v>
      </c>
      <c r="G863">
        <v>0.5</v>
      </c>
      <c r="Q863" s="1"/>
      <c r="R863" s="1"/>
    </row>
    <row r="864" spans="1:18" ht="15.75" customHeight="1" x14ac:dyDescent="0.25">
      <c r="A864" s="2">
        <v>5443403</v>
      </c>
      <c r="B864">
        <v>5443403</v>
      </c>
      <c r="C864" t="str">
        <f>HYPERLINK("https://ois.dk/map/5443403/sfe", "Link")</f>
        <v>Link</v>
      </c>
      <c r="D864" t="s">
        <v>1192</v>
      </c>
      <c r="E864" s="17">
        <v>0.5</v>
      </c>
      <c r="F864" t="s">
        <v>1193</v>
      </c>
      <c r="G864">
        <v>0.5</v>
      </c>
      <c r="Q864" s="1"/>
      <c r="R864" s="1"/>
    </row>
    <row r="865" spans="1:18" ht="15.75" customHeight="1" x14ac:dyDescent="0.25">
      <c r="A865" s="2">
        <v>5443409</v>
      </c>
      <c r="B865">
        <v>5443409</v>
      </c>
      <c r="C865" t="str">
        <f>HYPERLINK("https://ois.dk/map/5443409/sfe", "Link")</f>
        <v>Link</v>
      </c>
      <c r="D865" t="s">
        <v>1194</v>
      </c>
      <c r="E865" s="17">
        <v>0.5</v>
      </c>
      <c r="F865" t="s">
        <v>1195</v>
      </c>
      <c r="G865">
        <v>0.5</v>
      </c>
      <c r="Q865" s="1"/>
      <c r="R865" s="1"/>
    </row>
    <row r="866" spans="1:18" ht="15.75" customHeight="1" x14ac:dyDescent="0.25">
      <c r="A866" s="2">
        <v>5443411</v>
      </c>
      <c r="B866">
        <v>5443411</v>
      </c>
      <c r="C866" t="str">
        <f>HYPERLINK("https://ois.dk/map/5443411/sfe", "Link")</f>
        <v>Link</v>
      </c>
      <c r="D866" t="s">
        <v>1196</v>
      </c>
      <c r="E866" s="17">
        <v>0.5</v>
      </c>
      <c r="F866" t="s">
        <v>1197</v>
      </c>
      <c r="G866">
        <v>0.5</v>
      </c>
      <c r="Q866" s="1"/>
      <c r="R866" s="1"/>
    </row>
    <row r="867" spans="1:18" ht="15.75" customHeight="1" x14ac:dyDescent="0.25">
      <c r="A867" s="2">
        <v>5443418</v>
      </c>
      <c r="B867">
        <v>5443418</v>
      </c>
      <c r="C867" t="str">
        <f>HYPERLINK("https://ois.dk/map/5443418/sfe", "Link")</f>
        <v>Link</v>
      </c>
      <c r="D867" t="s">
        <v>1198</v>
      </c>
      <c r="E867" s="17">
        <v>0.5</v>
      </c>
      <c r="F867" t="s">
        <v>1199</v>
      </c>
      <c r="G867">
        <v>0.5</v>
      </c>
      <c r="Q867" s="1"/>
      <c r="R867" s="1"/>
    </row>
    <row r="868" spans="1:18" ht="15.75" customHeight="1" x14ac:dyDescent="0.25">
      <c r="A868" s="2">
        <v>5443420</v>
      </c>
      <c r="B868">
        <v>5443420</v>
      </c>
      <c r="C868" t="str">
        <f>HYPERLINK("https://ois.dk/map/5443420/sfe", "Link")</f>
        <v>Link</v>
      </c>
      <c r="D868" t="s">
        <v>1200</v>
      </c>
      <c r="E868" s="17">
        <v>0.5</v>
      </c>
      <c r="F868" t="s">
        <v>1201</v>
      </c>
      <c r="G868">
        <v>0.5</v>
      </c>
      <c r="Q868" s="1"/>
      <c r="R868" s="1"/>
    </row>
    <row r="869" spans="1:18" ht="15.75" customHeight="1" x14ac:dyDescent="0.25">
      <c r="A869" s="2">
        <v>5443423</v>
      </c>
      <c r="B869">
        <v>5443423</v>
      </c>
      <c r="C869" t="str">
        <f>HYPERLINK("https://ois.dk/map/5443423/sfe", "Link")</f>
        <v>Link</v>
      </c>
      <c r="D869" t="s">
        <v>1202</v>
      </c>
      <c r="E869" s="17">
        <v>0.5</v>
      </c>
      <c r="F869" t="s">
        <v>1203</v>
      </c>
      <c r="G869">
        <v>0.5</v>
      </c>
      <c r="Q869" s="1"/>
      <c r="R869" s="1"/>
    </row>
    <row r="870" spans="1:18" ht="15.75" customHeight="1" x14ac:dyDescent="0.25">
      <c r="A870" s="2">
        <v>5443424</v>
      </c>
      <c r="B870">
        <v>5443424</v>
      </c>
      <c r="C870" t="str">
        <f>HYPERLINK("https://ois.dk/map/5443424/sfe", "Link")</f>
        <v>Link</v>
      </c>
      <c r="D870" t="s">
        <v>1204</v>
      </c>
      <c r="E870" s="17">
        <v>0.5</v>
      </c>
      <c r="F870" t="s">
        <v>1205</v>
      </c>
      <c r="G870">
        <v>0.5</v>
      </c>
      <c r="Q870" s="1"/>
      <c r="R870" s="1"/>
    </row>
    <row r="871" spans="1:18" ht="15.75" customHeight="1" x14ac:dyDescent="0.25">
      <c r="A871" s="2">
        <v>5443427</v>
      </c>
      <c r="B871">
        <v>5443427</v>
      </c>
      <c r="C871" t="str">
        <f>HYPERLINK("https://ois.dk/map/5443427/sfe", "Link")</f>
        <v>Link</v>
      </c>
      <c r="D871" t="s">
        <v>1206</v>
      </c>
      <c r="E871" s="17">
        <v>0.5</v>
      </c>
      <c r="F871" t="s">
        <v>1207</v>
      </c>
      <c r="G871">
        <v>0.5</v>
      </c>
      <c r="Q871" s="1"/>
      <c r="R871" s="1"/>
    </row>
    <row r="872" spans="1:18" ht="15.75" customHeight="1" x14ac:dyDescent="0.25">
      <c r="A872" s="2">
        <v>5443429</v>
      </c>
      <c r="B872">
        <v>5443429</v>
      </c>
      <c r="C872" t="str">
        <f>HYPERLINK("https://ois.dk/map/5443429/sfe", "Link")</f>
        <v>Link</v>
      </c>
      <c r="D872" t="s">
        <v>1208</v>
      </c>
      <c r="E872" s="17">
        <v>0.5</v>
      </c>
      <c r="F872" t="s">
        <v>1209</v>
      </c>
      <c r="G872">
        <v>0.5</v>
      </c>
      <c r="Q872" s="1"/>
      <c r="R872" s="1"/>
    </row>
    <row r="873" spans="1:18" ht="15.75" customHeight="1" x14ac:dyDescent="0.25">
      <c r="A873" s="2">
        <v>5443431</v>
      </c>
      <c r="B873">
        <v>5443431</v>
      </c>
      <c r="C873" t="str">
        <f>HYPERLINK("https://ois.dk/map/5443431/sfe", "Link")</f>
        <v>Link</v>
      </c>
      <c r="D873" t="s">
        <v>1210</v>
      </c>
      <c r="E873" s="17">
        <v>0.5</v>
      </c>
      <c r="F873" t="s">
        <v>1211</v>
      </c>
      <c r="G873">
        <v>0.5</v>
      </c>
      <c r="Q873" s="1"/>
      <c r="R873" s="1"/>
    </row>
    <row r="874" spans="1:18" ht="15.75" customHeight="1" x14ac:dyDescent="0.25">
      <c r="A874" s="2">
        <v>5443432</v>
      </c>
      <c r="B874">
        <v>5443432</v>
      </c>
      <c r="C874" t="str">
        <f>HYPERLINK("https://ois.dk/map/5443432/sfe", "Link")</f>
        <v>Link</v>
      </c>
      <c r="D874" t="s">
        <v>1212</v>
      </c>
      <c r="E874" s="17">
        <v>0.5</v>
      </c>
      <c r="F874" t="s">
        <v>1213</v>
      </c>
      <c r="G874">
        <v>0.5</v>
      </c>
      <c r="Q874" s="1"/>
      <c r="R874" s="1"/>
    </row>
    <row r="875" spans="1:18" ht="15.75" customHeight="1" x14ac:dyDescent="0.25">
      <c r="A875" s="2">
        <v>5443434</v>
      </c>
      <c r="B875">
        <v>5443434</v>
      </c>
      <c r="C875" t="str">
        <f>HYPERLINK("https://ois.dk/map/5443434/sfe", "Link")</f>
        <v>Link</v>
      </c>
      <c r="D875" t="s">
        <v>1214</v>
      </c>
      <c r="E875" s="17">
        <v>65.5</v>
      </c>
      <c r="F875" t="s">
        <v>1215</v>
      </c>
      <c r="G875">
        <v>0.5</v>
      </c>
      <c r="Q875" s="1">
        <v>65</v>
      </c>
      <c r="R875" s="1"/>
    </row>
    <row r="876" spans="1:18" ht="15.75" customHeight="1" x14ac:dyDescent="0.25">
      <c r="A876" s="2">
        <v>5443439</v>
      </c>
      <c r="B876">
        <v>5443439</v>
      </c>
      <c r="C876" t="str">
        <f>HYPERLINK("https://ois.dk/map/5443439/sfe", "Link")</f>
        <v>Link</v>
      </c>
      <c r="D876" t="s">
        <v>1216</v>
      </c>
      <c r="E876" s="17">
        <v>0.5</v>
      </c>
      <c r="F876" t="s">
        <v>1217</v>
      </c>
      <c r="G876">
        <v>0.5</v>
      </c>
      <c r="Q876" s="1"/>
      <c r="R876" s="1"/>
    </row>
    <row r="877" spans="1:18" ht="15.75" customHeight="1" x14ac:dyDescent="0.25">
      <c r="A877" s="2">
        <v>5443440</v>
      </c>
      <c r="B877">
        <v>5443440</v>
      </c>
      <c r="C877" t="str">
        <f>HYPERLINK("https://ois.dk/map/5443440/sfe", "Link")</f>
        <v>Link</v>
      </c>
      <c r="D877" t="s">
        <v>1218</v>
      </c>
      <c r="E877" s="17">
        <v>0.5</v>
      </c>
      <c r="F877" t="s">
        <v>1219</v>
      </c>
      <c r="G877">
        <v>0.5</v>
      </c>
      <c r="Q877" s="1"/>
      <c r="R877" s="1"/>
    </row>
    <row r="878" spans="1:18" ht="15.75" customHeight="1" x14ac:dyDescent="0.25">
      <c r="A878" s="2">
        <v>5443441</v>
      </c>
      <c r="B878">
        <v>5443441</v>
      </c>
      <c r="C878" t="str">
        <f>HYPERLINK("https://ois.dk/map/5443441/sfe", "Link")</f>
        <v>Link</v>
      </c>
      <c r="D878" t="s">
        <v>1220</v>
      </c>
      <c r="E878" s="17">
        <v>0.5</v>
      </c>
      <c r="F878" t="s">
        <v>1221</v>
      </c>
      <c r="G878">
        <v>0.5</v>
      </c>
      <c r="Q878" s="1"/>
      <c r="R878" s="1"/>
    </row>
    <row r="879" spans="1:18" ht="15.75" customHeight="1" x14ac:dyDescent="0.25">
      <c r="A879" s="2">
        <v>5443443</v>
      </c>
      <c r="B879">
        <v>5443443</v>
      </c>
      <c r="C879" t="str">
        <f t="shared" ref="C879:C886" si="30">HYPERLINK("https://ois.dk/map/5443443/sfe", "Link")</f>
        <v>Link</v>
      </c>
      <c r="D879" t="s">
        <v>1222</v>
      </c>
      <c r="E879" s="17">
        <v>0.5</v>
      </c>
      <c r="F879" t="s">
        <v>1223</v>
      </c>
      <c r="G879">
        <v>0.5</v>
      </c>
      <c r="Q879" s="1"/>
      <c r="R879" s="1"/>
    </row>
    <row r="880" spans="1:18" ht="15.75" customHeight="1" x14ac:dyDescent="0.25">
      <c r="A880" s="2">
        <v>5443443</v>
      </c>
      <c r="B880">
        <v>5443443</v>
      </c>
      <c r="C880" t="str">
        <f t="shared" si="30"/>
        <v>Link</v>
      </c>
      <c r="D880" t="s">
        <v>1222</v>
      </c>
      <c r="E880" s="17">
        <v>0.5</v>
      </c>
      <c r="F880" t="s">
        <v>1224</v>
      </c>
      <c r="G880">
        <v>0.5</v>
      </c>
      <c r="Q880" s="1"/>
      <c r="R880" s="1"/>
    </row>
    <row r="881" spans="1:18" ht="15.75" customHeight="1" x14ac:dyDescent="0.25">
      <c r="A881" s="2">
        <v>5443443</v>
      </c>
      <c r="B881">
        <v>5443443</v>
      </c>
      <c r="C881" t="str">
        <f t="shared" si="30"/>
        <v>Link</v>
      </c>
      <c r="D881" t="s">
        <v>1222</v>
      </c>
      <c r="E881" s="17">
        <v>0.5</v>
      </c>
      <c r="F881" t="s">
        <v>1225</v>
      </c>
      <c r="G881">
        <v>0.5</v>
      </c>
      <c r="Q881" s="1"/>
      <c r="R881" s="1"/>
    </row>
    <row r="882" spans="1:18" ht="15.75" customHeight="1" x14ac:dyDescent="0.25">
      <c r="A882" s="2">
        <v>5443443</v>
      </c>
      <c r="B882">
        <v>5443443</v>
      </c>
      <c r="C882" t="str">
        <f t="shared" si="30"/>
        <v>Link</v>
      </c>
      <c r="D882" t="s">
        <v>1222</v>
      </c>
      <c r="E882" s="17">
        <v>0.5</v>
      </c>
      <c r="F882" t="s">
        <v>1226</v>
      </c>
      <c r="G882">
        <v>0.5</v>
      </c>
      <c r="Q882" s="1"/>
      <c r="R882" s="1"/>
    </row>
    <row r="883" spans="1:18" ht="15.75" customHeight="1" x14ac:dyDescent="0.25">
      <c r="A883" s="2">
        <v>5443443</v>
      </c>
      <c r="B883">
        <v>5443443</v>
      </c>
      <c r="C883" t="str">
        <f t="shared" si="30"/>
        <v>Link</v>
      </c>
      <c r="D883" t="s">
        <v>1222</v>
      </c>
      <c r="E883" s="17">
        <v>0.5</v>
      </c>
      <c r="F883" t="s">
        <v>1227</v>
      </c>
      <c r="G883">
        <v>0.5</v>
      </c>
      <c r="Q883" s="1"/>
      <c r="R883" s="1"/>
    </row>
    <row r="884" spans="1:18" ht="15.75" customHeight="1" x14ac:dyDescent="0.25">
      <c r="A884" s="2">
        <v>5443443</v>
      </c>
      <c r="B884">
        <v>5443443</v>
      </c>
      <c r="C884" t="str">
        <f t="shared" si="30"/>
        <v>Link</v>
      </c>
      <c r="D884" t="s">
        <v>1222</v>
      </c>
      <c r="E884" s="17">
        <v>0.5</v>
      </c>
      <c r="F884" t="s">
        <v>1228</v>
      </c>
      <c r="G884">
        <v>0.5</v>
      </c>
      <c r="Q884" s="1"/>
      <c r="R884" s="1"/>
    </row>
    <row r="885" spans="1:18" ht="15.75" customHeight="1" x14ac:dyDescent="0.25">
      <c r="A885" s="2">
        <v>5443443</v>
      </c>
      <c r="B885">
        <v>5443443</v>
      </c>
      <c r="C885" t="str">
        <f t="shared" si="30"/>
        <v>Link</v>
      </c>
      <c r="D885" t="s">
        <v>1222</v>
      </c>
      <c r="E885" s="17">
        <v>0.5</v>
      </c>
      <c r="F885" t="s">
        <v>1229</v>
      </c>
      <c r="G885">
        <v>0.5</v>
      </c>
      <c r="Q885" s="1"/>
      <c r="R885" s="1"/>
    </row>
    <row r="886" spans="1:18" ht="15.75" customHeight="1" x14ac:dyDescent="0.25">
      <c r="A886" s="2">
        <v>5443443</v>
      </c>
      <c r="B886">
        <v>5443443</v>
      </c>
      <c r="C886" t="str">
        <f t="shared" si="30"/>
        <v>Link</v>
      </c>
      <c r="D886" t="s">
        <v>1222</v>
      </c>
      <c r="E886" s="17">
        <v>0.5</v>
      </c>
      <c r="F886" t="s">
        <v>1230</v>
      </c>
      <c r="G886">
        <v>0.5</v>
      </c>
      <c r="Q886" s="1"/>
      <c r="R886" s="1"/>
    </row>
    <row r="887" spans="1:18" ht="15.75" customHeight="1" x14ac:dyDescent="0.25">
      <c r="A887" s="2">
        <v>5443444</v>
      </c>
      <c r="B887">
        <v>5443444</v>
      </c>
      <c r="C887" t="str">
        <f>HYPERLINK("https://ois.dk/map/5443444/sfe", "Link")</f>
        <v>Link</v>
      </c>
      <c r="D887" t="s">
        <v>1231</v>
      </c>
      <c r="E887" s="17">
        <v>0.5</v>
      </c>
      <c r="F887" t="s">
        <v>1232</v>
      </c>
      <c r="G887">
        <v>0.5</v>
      </c>
      <c r="Q887" s="1"/>
      <c r="R887" s="1"/>
    </row>
    <row r="888" spans="1:18" ht="15.75" customHeight="1" x14ac:dyDescent="0.25">
      <c r="A888" s="2">
        <v>5443446</v>
      </c>
      <c r="B888">
        <v>5443446</v>
      </c>
      <c r="C888" t="str">
        <f>HYPERLINK("https://ois.dk/map/5443446/sfe", "Link")</f>
        <v>Link</v>
      </c>
      <c r="D888" t="s">
        <v>1233</v>
      </c>
      <c r="E888" s="17">
        <v>0.5</v>
      </c>
      <c r="F888" t="s">
        <v>1234</v>
      </c>
      <c r="G888">
        <v>0.5</v>
      </c>
      <c r="Q888" s="1"/>
      <c r="R888" s="1"/>
    </row>
    <row r="889" spans="1:18" ht="15.75" customHeight="1" x14ac:dyDescent="0.25">
      <c r="A889" s="2">
        <v>5443448</v>
      </c>
      <c r="B889">
        <v>5443448</v>
      </c>
      <c r="C889" t="str">
        <f>HYPERLINK("https://ois.dk/map/5443448/sfe", "Link")</f>
        <v>Link</v>
      </c>
      <c r="D889" t="s">
        <v>1235</v>
      </c>
      <c r="E889" s="17">
        <v>0.5</v>
      </c>
      <c r="F889" t="s">
        <v>1236</v>
      </c>
      <c r="G889">
        <v>0.5</v>
      </c>
      <c r="Q889" s="1"/>
      <c r="R889" s="1"/>
    </row>
    <row r="890" spans="1:18" ht="15.75" customHeight="1" x14ac:dyDescent="0.25">
      <c r="A890" s="2">
        <v>5443449</v>
      </c>
      <c r="B890">
        <v>5443449</v>
      </c>
      <c r="C890" t="str">
        <f>HYPERLINK("https://ois.dk/map/5443449/sfe", "Link")</f>
        <v>Link</v>
      </c>
      <c r="D890" t="s">
        <v>1237</v>
      </c>
      <c r="E890" s="17">
        <v>0.5</v>
      </c>
      <c r="F890" t="s">
        <v>1238</v>
      </c>
      <c r="G890">
        <v>0.5</v>
      </c>
      <c r="Q890" s="1"/>
      <c r="R890" s="1"/>
    </row>
    <row r="891" spans="1:18" ht="15.75" customHeight="1" x14ac:dyDescent="0.25">
      <c r="A891" s="2">
        <v>5443451</v>
      </c>
      <c r="B891">
        <v>5443451</v>
      </c>
      <c r="C891" t="str">
        <f>HYPERLINK("https://ois.dk/map/5443451/sfe", "Link")</f>
        <v>Link</v>
      </c>
      <c r="D891" t="s">
        <v>1239</v>
      </c>
      <c r="E891" s="17">
        <v>0.5</v>
      </c>
      <c r="F891" t="s">
        <v>1240</v>
      </c>
      <c r="G891">
        <v>0.5</v>
      </c>
      <c r="Q891" s="1"/>
      <c r="R891" s="1"/>
    </row>
    <row r="892" spans="1:18" ht="15.75" customHeight="1" x14ac:dyDescent="0.25">
      <c r="A892" s="2">
        <v>5443453</v>
      </c>
      <c r="B892">
        <v>5443453</v>
      </c>
      <c r="C892" t="str">
        <f>HYPERLINK("https://ois.dk/map/5443453/sfe", "Link")</f>
        <v>Link</v>
      </c>
      <c r="D892" t="s">
        <v>1241</v>
      </c>
      <c r="E892" s="17">
        <v>0.5</v>
      </c>
      <c r="F892" t="s">
        <v>1242</v>
      </c>
      <c r="G892">
        <v>0.5</v>
      </c>
      <c r="Q892" s="1"/>
      <c r="R892" s="1"/>
    </row>
    <row r="893" spans="1:18" ht="15.75" customHeight="1" x14ac:dyDescent="0.25">
      <c r="A893" s="2">
        <v>5443453</v>
      </c>
      <c r="B893">
        <v>5443453</v>
      </c>
      <c r="C893" t="str">
        <f>HYPERLINK("https://ois.dk/map/5443453/sfe", "Link")</f>
        <v>Link</v>
      </c>
      <c r="D893" t="s">
        <v>1241</v>
      </c>
      <c r="E893" s="17">
        <v>0.5</v>
      </c>
      <c r="F893" t="s">
        <v>1242</v>
      </c>
      <c r="G893">
        <v>0.5</v>
      </c>
      <c r="Q893" s="1"/>
      <c r="R893" s="1"/>
    </row>
    <row r="894" spans="1:18" ht="15.75" customHeight="1" x14ac:dyDescent="0.25">
      <c r="A894" s="2">
        <v>5443459</v>
      </c>
      <c r="B894">
        <v>5443459</v>
      </c>
      <c r="C894" t="str">
        <f>HYPERLINK("https://ois.dk/map/5443459/sfe", "Link")</f>
        <v>Link</v>
      </c>
      <c r="D894" t="s">
        <v>1243</v>
      </c>
      <c r="E894" s="17">
        <v>0.75</v>
      </c>
      <c r="F894" t="s">
        <v>1244</v>
      </c>
      <c r="G894">
        <v>0.5</v>
      </c>
      <c r="H894">
        <v>0.25</v>
      </c>
      <c r="Q894" s="1"/>
      <c r="R894" s="1"/>
    </row>
    <row r="895" spans="1:18" ht="15.75" customHeight="1" x14ac:dyDescent="0.25">
      <c r="A895" s="2">
        <v>5443460</v>
      </c>
      <c r="B895">
        <v>5443460</v>
      </c>
      <c r="C895" t="str">
        <f>HYPERLINK("https://ois.dk/map/5443460/sfe", "Link")</f>
        <v>Link</v>
      </c>
      <c r="D895" t="s">
        <v>1245</v>
      </c>
      <c r="E895" s="17">
        <v>0.75</v>
      </c>
      <c r="F895" t="s">
        <v>1246</v>
      </c>
      <c r="G895">
        <v>0.5</v>
      </c>
      <c r="H895">
        <v>0.25</v>
      </c>
      <c r="Q895" s="1"/>
      <c r="R895" s="1"/>
    </row>
    <row r="896" spans="1:18" ht="15.75" customHeight="1" x14ac:dyDescent="0.25">
      <c r="A896" s="2">
        <v>5443463</v>
      </c>
      <c r="B896">
        <v>5443463</v>
      </c>
      <c r="C896" t="str">
        <f>HYPERLINK("https://ois.dk/map/5443463/sfe", "Link")</f>
        <v>Link</v>
      </c>
      <c r="D896" t="s">
        <v>1247</v>
      </c>
      <c r="E896" s="17">
        <v>0.75</v>
      </c>
      <c r="F896" t="s">
        <v>1248</v>
      </c>
      <c r="G896">
        <v>0.5</v>
      </c>
      <c r="H896">
        <v>0.25</v>
      </c>
      <c r="Q896" s="1"/>
      <c r="R896" s="1"/>
    </row>
    <row r="897" spans="1:18" ht="15.75" customHeight="1" x14ac:dyDescent="0.25">
      <c r="A897" s="2">
        <v>5443464</v>
      </c>
      <c r="B897">
        <v>5443464</v>
      </c>
      <c r="C897" t="str">
        <f>HYPERLINK("https://ois.dk/map/5443464/sfe", "Link")</f>
        <v>Link</v>
      </c>
      <c r="D897" t="s">
        <v>1249</v>
      </c>
      <c r="E897" s="17">
        <v>1.75</v>
      </c>
      <c r="F897" t="s">
        <v>1250</v>
      </c>
      <c r="G897">
        <v>0.5</v>
      </c>
      <c r="H897">
        <v>0.25</v>
      </c>
      <c r="I897">
        <v>1</v>
      </c>
      <c r="Q897" s="1"/>
      <c r="R897" s="1">
        <v>1.8</v>
      </c>
    </row>
    <row r="898" spans="1:18" ht="15.75" customHeight="1" x14ac:dyDescent="0.25">
      <c r="A898" s="2">
        <v>5443466</v>
      </c>
      <c r="B898">
        <v>5443466</v>
      </c>
      <c r="C898" t="str">
        <f>HYPERLINK("https://ois.dk/map/5443466/sfe", "Link")</f>
        <v>Link</v>
      </c>
      <c r="D898" t="s">
        <v>1251</v>
      </c>
      <c r="E898" s="17">
        <v>0.75</v>
      </c>
      <c r="F898" t="s">
        <v>1252</v>
      </c>
      <c r="G898">
        <v>0.5</v>
      </c>
      <c r="H898">
        <v>0.25</v>
      </c>
      <c r="Q898" s="1"/>
      <c r="R898" s="1"/>
    </row>
    <row r="899" spans="1:18" ht="15.75" customHeight="1" x14ac:dyDescent="0.25">
      <c r="A899" s="2">
        <v>5443470</v>
      </c>
      <c r="B899">
        <v>5443470</v>
      </c>
      <c r="C899" t="str">
        <f>HYPERLINK("https://ois.dk/map/5443470/sfe", "Link")</f>
        <v>Link</v>
      </c>
      <c r="D899" t="s">
        <v>1253</v>
      </c>
      <c r="E899" s="17">
        <v>0.75</v>
      </c>
      <c r="F899" t="s">
        <v>1254</v>
      </c>
      <c r="G899">
        <v>0.5</v>
      </c>
      <c r="H899">
        <v>0.25</v>
      </c>
      <c r="Q899" s="1"/>
      <c r="R899" s="1"/>
    </row>
    <row r="900" spans="1:18" ht="15.75" customHeight="1" x14ac:dyDescent="0.25">
      <c r="A900" s="2">
        <v>5443476</v>
      </c>
      <c r="B900">
        <v>5443476</v>
      </c>
      <c r="C900" t="str">
        <f>HYPERLINK("https://ois.dk/map/5443476/sfe", "Link")</f>
        <v>Link</v>
      </c>
      <c r="D900" t="s">
        <v>1255</v>
      </c>
      <c r="E900" s="17">
        <v>0.75</v>
      </c>
      <c r="G900">
        <v>0.5</v>
      </c>
      <c r="H900">
        <v>0.25</v>
      </c>
      <c r="Q900" s="1"/>
      <c r="R900" s="1"/>
    </row>
    <row r="901" spans="1:18" ht="15.75" customHeight="1" x14ac:dyDescent="0.25">
      <c r="A901" s="2">
        <v>5443478</v>
      </c>
      <c r="B901">
        <v>5443478</v>
      </c>
      <c r="C901" t="str">
        <f>HYPERLINK("https://ois.dk/map/5443478/sfe", "Link")</f>
        <v>Link</v>
      </c>
      <c r="D901" t="s">
        <v>1256</v>
      </c>
      <c r="E901" s="17">
        <v>0.75</v>
      </c>
      <c r="F901" t="s">
        <v>1257</v>
      </c>
      <c r="G901">
        <v>0.5</v>
      </c>
      <c r="H901">
        <v>0.25</v>
      </c>
      <c r="Q901" s="1"/>
      <c r="R901" s="1"/>
    </row>
    <row r="902" spans="1:18" ht="15.75" customHeight="1" x14ac:dyDescent="0.25">
      <c r="A902" s="2">
        <v>5443482</v>
      </c>
      <c r="B902">
        <v>5443482</v>
      </c>
      <c r="C902" t="str">
        <f>HYPERLINK("https://ois.dk/map/5443482/sfe", "Link")</f>
        <v>Link</v>
      </c>
      <c r="D902" t="s">
        <v>1258</v>
      </c>
      <c r="E902" s="17">
        <v>0.5</v>
      </c>
      <c r="F902" t="s">
        <v>1259</v>
      </c>
      <c r="G902">
        <v>0.5</v>
      </c>
      <c r="Q902" s="1"/>
      <c r="R902" s="1"/>
    </row>
    <row r="903" spans="1:18" ht="15.75" customHeight="1" x14ac:dyDescent="0.25">
      <c r="A903" s="2">
        <v>5443483</v>
      </c>
      <c r="B903">
        <v>5443483</v>
      </c>
      <c r="C903" t="str">
        <f>HYPERLINK("https://ois.dk/map/5443483/sfe", "Link")</f>
        <v>Link</v>
      </c>
      <c r="D903" t="s">
        <v>1260</v>
      </c>
      <c r="E903" s="17">
        <v>0.75</v>
      </c>
      <c r="F903" t="s">
        <v>1261</v>
      </c>
      <c r="G903">
        <v>0.5</v>
      </c>
      <c r="H903">
        <v>0.25</v>
      </c>
      <c r="Q903" s="1"/>
      <c r="R903" s="1"/>
    </row>
    <row r="904" spans="1:18" ht="15.75" customHeight="1" x14ac:dyDescent="0.25">
      <c r="A904" s="2">
        <v>5443484</v>
      </c>
      <c r="B904">
        <v>5443484</v>
      </c>
      <c r="C904" t="str">
        <f>HYPERLINK("https://ois.dk/map/5443484/sfe", "Link")</f>
        <v>Link</v>
      </c>
      <c r="D904" t="s">
        <v>1262</v>
      </c>
      <c r="E904" s="17">
        <v>0.5</v>
      </c>
      <c r="G904">
        <v>0.5</v>
      </c>
      <c r="Q904" s="1"/>
      <c r="R904" s="1"/>
    </row>
    <row r="905" spans="1:18" ht="15.75" customHeight="1" x14ac:dyDescent="0.25">
      <c r="A905" s="2">
        <v>5443485</v>
      </c>
      <c r="B905">
        <v>5443485</v>
      </c>
      <c r="C905" t="str">
        <f>HYPERLINK("https://ois.dk/map/5443485/sfe", "Link")</f>
        <v>Link</v>
      </c>
      <c r="D905" t="s">
        <v>1263</v>
      </c>
      <c r="E905" s="17">
        <v>0.5</v>
      </c>
      <c r="G905">
        <v>0.5</v>
      </c>
      <c r="Q905" s="1"/>
      <c r="R905" s="1"/>
    </row>
    <row r="906" spans="1:18" ht="15.75" customHeight="1" x14ac:dyDescent="0.25">
      <c r="A906" s="2">
        <v>5443487</v>
      </c>
      <c r="B906">
        <v>5443487</v>
      </c>
      <c r="C906" t="str">
        <f>HYPERLINK("https://ois.dk/map/5443487/sfe", "Link")</f>
        <v>Link</v>
      </c>
      <c r="D906" t="s">
        <v>1264</v>
      </c>
      <c r="E906" s="17">
        <v>0.5</v>
      </c>
      <c r="F906" t="s">
        <v>1265</v>
      </c>
      <c r="G906">
        <v>0.5</v>
      </c>
      <c r="Q906" s="1"/>
      <c r="R906" s="1"/>
    </row>
    <row r="907" spans="1:18" ht="15.75" customHeight="1" x14ac:dyDescent="0.25">
      <c r="A907" s="2">
        <v>5443489</v>
      </c>
      <c r="B907">
        <v>5443489</v>
      </c>
      <c r="C907" t="str">
        <f>HYPERLINK("https://ois.dk/map/5443489/sfe", "Link")</f>
        <v>Link</v>
      </c>
      <c r="D907" t="s">
        <v>140</v>
      </c>
      <c r="E907" s="17">
        <v>0.5</v>
      </c>
      <c r="G907">
        <v>0.5</v>
      </c>
      <c r="Q907" s="1"/>
      <c r="R907" s="1"/>
    </row>
    <row r="908" spans="1:18" ht="15.75" customHeight="1" x14ac:dyDescent="0.25">
      <c r="A908" s="2">
        <v>5443490</v>
      </c>
      <c r="B908">
        <v>5443490</v>
      </c>
      <c r="C908" t="str">
        <f>HYPERLINK("https://ois.dk/map/5443490/sfe", "Link")</f>
        <v>Link</v>
      </c>
      <c r="D908" t="s">
        <v>141</v>
      </c>
      <c r="E908" s="17">
        <v>0.50600000000000001</v>
      </c>
      <c r="G908">
        <v>0.5</v>
      </c>
      <c r="L908">
        <v>6.0000000000000001E-3</v>
      </c>
      <c r="Q908" s="1"/>
      <c r="R908" s="1"/>
    </row>
    <row r="909" spans="1:18" ht="15.75" customHeight="1" x14ac:dyDescent="0.25">
      <c r="A909" s="2">
        <v>5443491</v>
      </c>
      <c r="B909">
        <v>5443491</v>
      </c>
      <c r="C909" t="str">
        <f>HYPERLINK("https://ois.dk/map/5443491/sfe", "Link")</f>
        <v>Link</v>
      </c>
      <c r="D909" t="s">
        <v>234</v>
      </c>
      <c r="E909" s="17">
        <v>0.52</v>
      </c>
      <c r="G909">
        <v>0.5</v>
      </c>
      <c r="L909">
        <v>0.02</v>
      </c>
      <c r="Q909" s="1"/>
      <c r="R909" s="1"/>
    </row>
    <row r="910" spans="1:18" ht="15.75" customHeight="1" x14ac:dyDescent="0.25">
      <c r="A910" s="2">
        <v>5443492</v>
      </c>
      <c r="B910">
        <v>5443492</v>
      </c>
      <c r="C910" t="str">
        <f>HYPERLINK("https://ois.dk/map/5443492/sfe", "Link")</f>
        <v>Link</v>
      </c>
      <c r="D910" t="s">
        <v>1266</v>
      </c>
      <c r="E910" s="17">
        <v>0.8</v>
      </c>
      <c r="G910">
        <v>0.5</v>
      </c>
      <c r="H910">
        <v>0.25</v>
      </c>
      <c r="L910">
        <v>0.05</v>
      </c>
      <c r="Q910" s="1"/>
      <c r="R910" s="1"/>
    </row>
    <row r="911" spans="1:18" ht="15.75" customHeight="1" x14ac:dyDescent="0.25">
      <c r="A911" s="2">
        <v>5443493</v>
      </c>
      <c r="B911">
        <v>5443493</v>
      </c>
      <c r="C911" t="str">
        <f>HYPERLINK("https://ois.dk/map/5443493/sfe", "Link")</f>
        <v>Link</v>
      </c>
      <c r="D911" t="s">
        <v>1267</v>
      </c>
      <c r="E911" s="17">
        <v>1.3180000000000001</v>
      </c>
      <c r="G911">
        <v>0.5</v>
      </c>
      <c r="H911">
        <v>0.25</v>
      </c>
      <c r="L911">
        <v>0.56799999999999995</v>
      </c>
      <c r="Q911" s="1"/>
      <c r="R911" s="1"/>
    </row>
    <row r="912" spans="1:18" ht="15.75" customHeight="1" x14ac:dyDescent="0.25">
      <c r="A912" s="2">
        <v>5443495</v>
      </c>
      <c r="B912">
        <v>5443495</v>
      </c>
      <c r="C912" t="str">
        <f>HYPERLINK("https://ois.dk/map/5443495/sfe", "Link")</f>
        <v>Link</v>
      </c>
      <c r="D912" t="s">
        <v>1268</v>
      </c>
      <c r="E912" s="17">
        <v>0.78900000000000003</v>
      </c>
      <c r="G912">
        <v>0.5</v>
      </c>
      <c r="H912">
        <v>0.25</v>
      </c>
      <c r="L912">
        <v>3.9E-2</v>
      </c>
      <c r="Q912" s="1"/>
      <c r="R912" s="1"/>
    </row>
    <row r="913" spans="1:18" ht="15.75" customHeight="1" x14ac:dyDescent="0.25">
      <c r="A913" s="2">
        <v>5443496</v>
      </c>
      <c r="B913">
        <v>5443496</v>
      </c>
      <c r="C913" t="str">
        <f>HYPERLINK("https://ois.dk/map/5443496/sfe", "Link")</f>
        <v>Link</v>
      </c>
      <c r="D913" t="s">
        <v>1269</v>
      </c>
      <c r="E913" s="17">
        <v>0.81699999999999995</v>
      </c>
      <c r="G913">
        <v>0.5</v>
      </c>
      <c r="H913">
        <v>0.25</v>
      </c>
      <c r="L913">
        <v>6.7000000000000004E-2</v>
      </c>
      <c r="Q913" s="1"/>
      <c r="R913" s="1"/>
    </row>
    <row r="914" spans="1:18" ht="15.75" customHeight="1" x14ac:dyDescent="0.25">
      <c r="A914" s="2">
        <v>5443497</v>
      </c>
      <c r="B914">
        <v>5443497</v>
      </c>
      <c r="C914" t="str">
        <f>HYPERLINK("https://ois.dk/map/5443497/sfe", "Link")</f>
        <v>Link</v>
      </c>
      <c r="D914" t="s">
        <v>1270</v>
      </c>
      <c r="E914" s="17">
        <v>3.7770000000000001</v>
      </c>
      <c r="F914" t="s">
        <v>1271</v>
      </c>
      <c r="G914">
        <v>0.5</v>
      </c>
      <c r="H914">
        <v>0.25</v>
      </c>
      <c r="L914">
        <v>3.0270000000000001</v>
      </c>
      <c r="Q914" s="1"/>
      <c r="R914" s="1"/>
    </row>
    <row r="915" spans="1:18" ht="15.75" customHeight="1" x14ac:dyDescent="0.25">
      <c r="A915" s="2">
        <v>5443498</v>
      </c>
      <c r="B915">
        <v>5443498</v>
      </c>
      <c r="C915" t="str">
        <f>HYPERLINK("https://ois.dk/map/5443498/sfe", "Link")</f>
        <v>Link</v>
      </c>
      <c r="D915" t="s">
        <v>1272</v>
      </c>
      <c r="E915" s="17">
        <v>0.93600000000000005</v>
      </c>
      <c r="G915">
        <v>0.5</v>
      </c>
      <c r="H915">
        <v>0.25</v>
      </c>
      <c r="L915">
        <v>0.186</v>
      </c>
      <c r="Q915" s="1"/>
      <c r="R915" s="1"/>
    </row>
    <row r="916" spans="1:18" ht="15.75" customHeight="1" x14ac:dyDescent="0.25">
      <c r="A916" s="2">
        <v>5443499</v>
      </c>
      <c r="B916">
        <v>5443499</v>
      </c>
      <c r="C916" t="str">
        <f>HYPERLINK("https://ois.dk/map/5443499/sfe", "Link")</f>
        <v>Link</v>
      </c>
      <c r="D916" t="s">
        <v>1273</v>
      </c>
      <c r="E916" s="17">
        <v>0.93700000000000006</v>
      </c>
      <c r="G916">
        <v>0.5</v>
      </c>
      <c r="H916">
        <v>0.25</v>
      </c>
      <c r="L916">
        <v>0.187</v>
      </c>
      <c r="Q916" s="1"/>
      <c r="R916" s="1"/>
    </row>
    <row r="917" spans="1:18" ht="15.75" customHeight="1" x14ac:dyDescent="0.25">
      <c r="A917" s="2">
        <v>5443500</v>
      </c>
      <c r="B917">
        <v>5443500</v>
      </c>
      <c r="C917" t="str">
        <f>HYPERLINK("https://ois.dk/map/5443500/sfe", "Link")</f>
        <v>Link</v>
      </c>
      <c r="D917" t="s">
        <v>1274</v>
      </c>
      <c r="E917" s="17">
        <v>0.5</v>
      </c>
      <c r="G917">
        <v>0.5</v>
      </c>
      <c r="Q917" s="1"/>
      <c r="R917" s="1"/>
    </row>
    <row r="918" spans="1:18" ht="15.75" customHeight="1" x14ac:dyDescent="0.25">
      <c r="A918" s="2">
        <v>5443501</v>
      </c>
      <c r="B918">
        <v>5443501</v>
      </c>
      <c r="C918" t="str">
        <f>HYPERLINK("https://ois.dk/map/5443501/sfe", "Link")</f>
        <v>Link</v>
      </c>
      <c r="D918" t="s">
        <v>1275</v>
      </c>
      <c r="E918" s="17">
        <v>0.50800000000000001</v>
      </c>
      <c r="G918">
        <v>0.5</v>
      </c>
      <c r="L918">
        <v>8.0000000000000002E-3</v>
      </c>
      <c r="Q918" s="1"/>
      <c r="R918" s="1"/>
    </row>
    <row r="919" spans="1:18" ht="15.75" customHeight="1" x14ac:dyDescent="0.25">
      <c r="A919" s="2">
        <v>5443502</v>
      </c>
      <c r="B919">
        <v>5443502</v>
      </c>
      <c r="C919" t="str">
        <f>HYPERLINK("https://ois.dk/map/5443502/sfe", "Link")</f>
        <v>Link</v>
      </c>
      <c r="D919" t="s">
        <v>1276</v>
      </c>
      <c r="E919" s="17">
        <v>1.1870000000000001</v>
      </c>
      <c r="G919">
        <v>0.5</v>
      </c>
      <c r="H919">
        <v>0.25</v>
      </c>
      <c r="L919">
        <v>0.437</v>
      </c>
      <c r="Q919" s="1"/>
      <c r="R919" s="1"/>
    </row>
    <row r="920" spans="1:18" ht="15.75" customHeight="1" x14ac:dyDescent="0.25">
      <c r="A920" s="2">
        <v>5443503</v>
      </c>
      <c r="B920">
        <v>5443503</v>
      </c>
      <c r="C920" t="str">
        <f>HYPERLINK("https://ois.dk/map/5443503/sfe", "Link")</f>
        <v>Link</v>
      </c>
      <c r="D920" t="s">
        <v>1277</v>
      </c>
      <c r="E920" s="17">
        <v>2.3959999999999999</v>
      </c>
      <c r="G920">
        <v>0.5</v>
      </c>
      <c r="H920">
        <v>0.25</v>
      </c>
      <c r="L920">
        <v>1.6459999999999999</v>
      </c>
      <c r="Q920" s="1"/>
      <c r="R920" s="1"/>
    </row>
    <row r="921" spans="1:18" ht="15.75" customHeight="1" x14ac:dyDescent="0.25">
      <c r="A921" s="2">
        <v>5443504</v>
      </c>
      <c r="B921">
        <v>5443504</v>
      </c>
      <c r="C921" t="str">
        <f>HYPERLINK("https://ois.dk/map/5443504/sfe", "Link")</f>
        <v>Link</v>
      </c>
      <c r="D921" t="s">
        <v>1278</v>
      </c>
      <c r="E921" s="17">
        <v>0.5</v>
      </c>
      <c r="G921">
        <v>0.5</v>
      </c>
      <c r="Q921" s="1"/>
      <c r="R921" s="1"/>
    </row>
    <row r="922" spans="1:18" ht="15.75" customHeight="1" x14ac:dyDescent="0.25">
      <c r="A922" s="2">
        <v>5443505</v>
      </c>
      <c r="B922">
        <v>5443505</v>
      </c>
      <c r="C922" t="str">
        <f>HYPERLINK("https://ois.dk/map/5443505/sfe", "Link")</f>
        <v>Link</v>
      </c>
      <c r="D922" t="s">
        <v>1279</v>
      </c>
      <c r="E922" s="17">
        <v>0.5</v>
      </c>
      <c r="G922">
        <v>0.5</v>
      </c>
      <c r="Q922" s="1"/>
      <c r="R922" s="1"/>
    </row>
    <row r="923" spans="1:18" ht="15.75" customHeight="1" x14ac:dyDescent="0.25">
      <c r="A923" s="2">
        <v>5443506</v>
      </c>
      <c r="B923">
        <v>5443506</v>
      </c>
      <c r="C923" t="str">
        <f>HYPERLINK("https://ois.dk/map/5443506/sfe", "Link")</f>
        <v>Link</v>
      </c>
      <c r="D923" t="s">
        <v>1280</v>
      </c>
      <c r="E923" s="17">
        <v>0.91400000000000003</v>
      </c>
      <c r="G923">
        <v>0.5</v>
      </c>
      <c r="H923">
        <v>0.25</v>
      </c>
      <c r="L923">
        <v>0.16400000000000001</v>
      </c>
      <c r="Q923" s="1"/>
      <c r="R923" s="1"/>
    </row>
    <row r="924" spans="1:18" ht="15.75" customHeight="1" x14ac:dyDescent="0.25">
      <c r="A924" s="2">
        <v>5443507</v>
      </c>
      <c r="B924">
        <v>5443507</v>
      </c>
      <c r="C924" t="str">
        <f>HYPERLINK("https://ois.dk/map/5443507/sfe", "Link")</f>
        <v>Link</v>
      </c>
      <c r="D924" t="s">
        <v>1281</v>
      </c>
      <c r="E924" s="17">
        <v>0.5</v>
      </c>
      <c r="G924">
        <v>0.5</v>
      </c>
      <c r="Q924" s="1"/>
      <c r="R924" s="1"/>
    </row>
    <row r="925" spans="1:18" ht="15.75" customHeight="1" x14ac:dyDescent="0.25">
      <c r="A925" s="2">
        <v>5443508</v>
      </c>
      <c r="B925">
        <v>5443508</v>
      </c>
      <c r="C925" t="str">
        <f>HYPERLINK("https://ois.dk/map/5443508/sfe", "Link")</f>
        <v>Link</v>
      </c>
      <c r="D925" t="s">
        <v>1282</v>
      </c>
      <c r="E925" s="17">
        <v>0.5</v>
      </c>
      <c r="G925">
        <v>0.5</v>
      </c>
      <c r="Q925" s="1"/>
      <c r="R925" s="1"/>
    </row>
    <row r="926" spans="1:18" ht="15.75" customHeight="1" x14ac:dyDescent="0.25">
      <c r="A926" s="2">
        <v>5443509</v>
      </c>
      <c r="B926">
        <v>5443509</v>
      </c>
      <c r="C926" t="str">
        <f>HYPERLINK("https://ois.dk/map/5443509/sfe", "Link")</f>
        <v>Link</v>
      </c>
      <c r="D926" t="s">
        <v>1283</v>
      </c>
      <c r="E926" s="17">
        <v>0.84799999999999998</v>
      </c>
      <c r="G926">
        <v>0.5</v>
      </c>
      <c r="H926">
        <v>0.25</v>
      </c>
      <c r="L926">
        <v>9.8000000000000004E-2</v>
      </c>
      <c r="Q926" s="1"/>
      <c r="R926" s="1"/>
    </row>
    <row r="927" spans="1:18" ht="15.75" customHeight="1" x14ac:dyDescent="0.25">
      <c r="A927" s="2">
        <v>5443510</v>
      </c>
      <c r="B927">
        <v>5443510</v>
      </c>
      <c r="C927" t="str">
        <f>HYPERLINK("https://ois.dk/map/5443510/sfe", "Link")</f>
        <v>Link</v>
      </c>
      <c r="D927" t="s">
        <v>1284</v>
      </c>
      <c r="E927" s="17">
        <v>0.5</v>
      </c>
      <c r="G927">
        <v>0.5</v>
      </c>
      <c r="Q927" s="1"/>
      <c r="R927" s="1"/>
    </row>
    <row r="928" spans="1:18" ht="15.75" customHeight="1" x14ac:dyDescent="0.25">
      <c r="A928" s="2">
        <v>5443511</v>
      </c>
      <c r="B928">
        <v>5443511</v>
      </c>
      <c r="C928" t="str">
        <f>HYPERLINK("https://ois.dk/map/5443511/sfe", "Link")</f>
        <v>Link</v>
      </c>
      <c r="D928" t="s">
        <v>1285</v>
      </c>
      <c r="E928" s="17">
        <v>0.5</v>
      </c>
      <c r="G928">
        <v>0.5</v>
      </c>
      <c r="Q928" s="1"/>
      <c r="R928" s="1"/>
    </row>
    <row r="929" spans="1:18" ht="15.75" customHeight="1" x14ac:dyDescent="0.25">
      <c r="A929" s="2">
        <v>5443512</v>
      </c>
      <c r="B929">
        <v>5443512</v>
      </c>
      <c r="C929" t="str">
        <f>HYPERLINK("https://ois.dk/map/5443512/sfe", "Link")</f>
        <v>Link</v>
      </c>
      <c r="D929" t="s">
        <v>1286</v>
      </c>
      <c r="E929" s="17">
        <v>0.5</v>
      </c>
      <c r="G929">
        <v>0.5</v>
      </c>
      <c r="Q929" s="1"/>
      <c r="R929" s="1"/>
    </row>
    <row r="930" spans="1:18" ht="15.75" customHeight="1" x14ac:dyDescent="0.25">
      <c r="A930" s="2">
        <v>5443513</v>
      </c>
      <c r="B930">
        <v>5443513</v>
      </c>
      <c r="C930" t="str">
        <f>HYPERLINK("https://ois.dk/map/5443513/sfe", "Link")</f>
        <v>Link</v>
      </c>
      <c r="D930" t="s">
        <v>1287</v>
      </c>
      <c r="E930" s="17">
        <v>0.5</v>
      </c>
      <c r="G930">
        <v>0.5</v>
      </c>
      <c r="Q930" s="1"/>
      <c r="R930" s="1"/>
    </row>
    <row r="931" spans="1:18" ht="15.75" customHeight="1" x14ac:dyDescent="0.25">
      <c r="A931" s="2">
        <v>5443514</v>
      </c>
      <c r="B931">
        <v>5443514</v>
      </c>
      <c r="C931" t="str">
        <f>HYPERLINK("https://ois.dk/map/5443514/sfe", "Link")</f>
        <v>Link</v>
      </c>
      <c r="D931" t="s">
        <v>1288</v>
      </c>
      <c r="E931" s="17">
        <v>0.83399999999999996</v>
      </c>
      <c r="G931">
        <v>0.5</v>
      </c>
      <c r="H931">
        <v>0.25</v>
      </c>
      <c r="L931">
        <v>8.4000000000000005E-2</v>
      </c>
      <c r="Q931" s="1"/>
      <c r="R931" s="1"/>
    </row>
    <row r="932" spans="1:18" ht="15.75" customHeight="1" x14ac:dyDescent="0.25">
      <c r="A932" s="2">
        <v>5443515</v>
      </c>
      <c r="B932">
        <v>5443515</v>
      </c>
      <c r="C932" t="str">
        <f>HYPERLINK("https://ois.dk/map/5443515/sfe", "Link")</f>
        <v>Link</v>
      </c>
      <c r="D932" t="s">
        <v>1289</v>
      </c>
      <c r="E932" s="17">
        <v>1.1220000000000001</v>
      </c>
      <c r="G932">
        <v>0.5</v>
      </c>
      <c r="H932">
        <v>0.25</v>
      </c>
      <c r="L932">
        <v>0.372</v>
      </c>
      <c r="Q932" s="1"/>
      <c r="R932" s="1"/>
    </row>
    <row r="933" spans="1:18" ht="15.75" customHeight="1" x14ac:dyDescent="0.25">
      <c r="A933" s="2">
        <v>5443564</v>
      </c>
      <c r="B933">
        <v>5443564</v>
      </c>
      <c r="C933" t="str">
        <f>HYPERLINK("https://ois.dk/map/5443564/sfe", "Link")</f>
        <v>Link</v>
      </c>
      <c r="D933" t="s">
        <v>142</v>
      </c>
      <c r="E933" s="17">
        <v>0.5</v>
      </c>
      <c r="F933" t="s">
        <v>1290</v>
      </c>
      <c r="G933">
        <v>0.5</v>
      </c>
      <c r="Q933" s="1"/>
      <c r="R933" s="1"/>
    </row>
    <row r="934" spans="1:18" ht="15.75" customHeight="1" x14ac:dyDescent="0.25">
      <c r="A934" s="2">
        <v>5443565</v>
      </c>
      <c r="B934">
        <v>5443565</v>
      </c>
      <c r="C934" t="str">
        <f>HYPERLINK("https://ois.dk/map/5443565/sfe", "Link")</f>
        <v>Link</v>
      </c>
      <c r="D934" t="s">
        <v>1291</v>
      </c>
      <c r="E934" s="17">
        <v>0.5</v>
      </c>
      <c r="F934" t="s">
        <v>1292</v>
      </c>
      <c r="G934">
        <v>0.5</v>
      </c>
      <c r="Q934" s="1"/>
      <c r="R934" s="1"/>
    </row>
    <row r="935" spans="1:18" ht="15.75" customHeight="1" x14ac:dyDescent="0.25">
      <c r="A935" s="2">
        <v>5443566</v>
      </c>
      <c r="B935">
        <v>5443566</v>
      </c>
      <c r="C935" t="str">
        <f>HYPERLINK("https://ois.dk/map/5443566/sfe", "Link")</f>
        <v>Link</v>
      </c>
      <c r="D935" t="s">
        <v>1293</v>
      </c>
      <c r="E935" s="17">
        <v>0.5</v>
      </c>
      <c r="F935" t="s">
        <v>1294</v>
      </c>
      <c r="G935">
        <v>0.5</v>
      </c>
      <c r="Q935" s="1"/>
      <c r="R935" s="1"/>
    </row>
    <row r="936" spans="1:18" ht="15.75" customHeight="1" x14ac:dyDescent="0.25">
      <c r="A936" s="2">
        <v>5443567</v>
      </c>
      <c r="B936">
        <v>5443567</v>
      </c>
      <c r="C936" t="str">
        <f>HYPERLINK("https://ois.dk/map/5443567/sfe", "Link")</f>
        <v>Link</v>
      </c>
      <c r="D936" t="s">
        <v>1295</v>
      </c>
      <c r="E936" s="17">
        <v>0.5</v>
      </c>
      <c r="G936">
        <v>0.5</v>
      </c>
      <c r="Q936" s="1"/>
      <c r="R936" s="1"/>
    </row>
    <row r="937" spans="1:18" ht="15.75" customHeight="1" x14ac:dyDescent="0.25">
      <c r="A937" s="2">
        <v>5443568</v>
      </c>
      <c r="B937">
        <v>5443568</v>
      </c>
      <c r="C937" t="str">
        <f>HYPERLINK("https://ois.dk/map/5443568/sfe", "Link")</f>
        <v>Link</v>
      </c>
      <c r="D937" t="s">
        <v>1296</v>
      </c>
      <c r="E937" s="17">
        <v>0.5</v>
      </c>
      <c r="F937" t="s">
        <v>1297</v>
      </c>
      <c r="G937">
        <v>0.5</v>
      </c>
      <c r="Q937" s="1"/>
      <c r="R937" s="1"/>
    </row>
    <row r="938" spans="1:18" ht="15.75" customHeight="1" x14ac:dyDescent="0.25">
      <c r="A938" s="2">
        <v>5443569</v>
      </c>
      <c r="B938">
        <v>5443569</v>
      </c>
      <c r="C938" t="str">
        <f>HYPERLINK("https://ois.dk/map/5443569/sfe", "Link")</f>
        <v>Link</v>
      </c>
      <c r="D938" t="s">
        <v>1298</v>
      </c>
      <c r="E938" s="17">
        <v>0.5</v>
      </c>
      <c r="F938" t="s">
        <v>1299</v>
      </c>
      <c r="G938">
        <v>0.5</v>
      </c>
      <c r="Q938" s="1"/>
      <c r="R938" s="1"/>
    </row>
    <row r="939" spans="1:18" ht="15.75" customHeight="1" x14ac:dyDescent="0.25">
      <c r="A939" s="2">
        <v>5443570</v>
      </c>
      <c r="B939">
        <v>5443570</v>
      </c>
      <c r="C939" t="str">
        <f>HYPERLINK("https://ois.dk/map/5443570/sfe", "Link")</f>
        <v>Link</v>
      </c>
      <c r="D939" t="s">
        <v>1300</v>
      </c>
      <c r="E939" s="17">
        <v>0.5</v>
      </c>
      <c r="F939" t="s">
        <v>1301</v>
      </c>
      <c r="G939">
        <v>0.5</v>
      </c>
      <c r="Q939" s="1"/>
      <c r="R939" s="1"/>
    </row>
    <row r="940" spans="1:18" ht="15.75" customHeight="1" x14ac:dyDescent="0.25">
      <c r="A940" s="2">
        <v>5443571</v>
      </c>
      <c r="B940">
        <v>5443571</v>
      </c>
      <c r="C940" t="str">
        <f>HYPERLINK("https://ois.dk/map/5443571/sfe", "Link")</f>
        <v>Link</v>
      </c>
      <c r="D940" t="s">
        <v>1302</v>
      </c>
      <c r="E940" s="17">
        <v>0.5</v>
      </c>
      <c r="F940" t="s">
        <v>1303</v>
      </c>
      <c r="G940">
        <v>0.5</v>
      </c>
      <c r="Q940" s="1"/>
      <c r="R940" s="1"/>
    </row>
    <row r="941" spans="1:18" ht="15.75" customHeight="1" x14ac:dyDescent="0.25">
      <c r="A941" s="2">
        <v>5443572</v>
      </c>
      <c r="B941">
        <v>5443572</v>
      </c>
      <c r="C941" t="str">
        <f>HYPERLINK("https://ois.dk/map/5443572/sfe", "Link")</f>
        <v>Link</v>
      </c>
      <c r="D941" t="s">
        <v>1304</v>
      </c>
      <c r="E941" s="17">
        <v>0.5</v>
      </c>
      <c r="F941" t="s">
        <v>1305</v>
      </c>
      <c r="G941">
        <v>0.5</v>
      </c>
      <c r="Q941" s="1"/>
      <c r="R941" s="1"/>
    </row>
    <row r="942" spans="1:18" ht="15.75" customHeight="1" x14ac:dyDescent="0.25">
      <c r="A942" s="2">
        <v>5443573</v>
      </c>
      <c r="B942">
        <v>5443573</v>
      </c>
      <c r="C942" t="str">
        <f>HYPERLINK("https://ois.dk/map/5443573/sfe", "Link")</f>
        <v>Link</v>
      </c>
      <c r="D942" t="s">
        <v>1306</v>
      </c>
      <c r="E942" s="17">
        <v>0.5</v>
      </c>
      <c r="F942" t="s">
        <v>1307</v>
      </c>
      <c r="G942">
        <v>0.5</v>
      </c>
      <c r="Q942" s="1"/>
      <c r="R942" s="1"/>
    </row>
    <row r="943" spans="1:18" ht="15.75" customHeight="1" x14ac:dyDescent="0.25">
      <c r="A943" s="2">
        <v>5443574</v>
      </c>
      <c r="B943">
        <v>5443574</v>
      </c>
      <c r="C943" t="str">
        <f>HYPERLINK("https://ois.dk/map/5443574/sfe", "Link")</f>
        <v>Link</v>
      </c>
      <c r="D943" t="s">
        <v>138</v>
      </c>
      <c r="E943" s="17">
        <v>0.5</v>
      </c>
      <c r="F943" t="s">
        <v>1308</v>
      </c>
      <c r="G943">
        <v>0.5</v>
      </c>
      <c r="Q943" s="1"/>
      <c r="R943" s="1"/>
    </row>
    <row r="944" spans="1:18" ht="15.75" customHeight="1" x14ac:dyDescent="0.25">
      <c r="A944" s="2">
        <v>5443575</v>
      </c>
      <c r="B944">
        <v>5443575</v>
      </c>
      <c r="C944" t="str">
        <f>HYPERLINK("https://ois.dk/map/5443575/sfe", "Link")</f>
        <v>Link</v>
      </c>
      <c r="D944" t="s">
        <v>224</v>
      </c>
      <c r="E944" s="17">
        <v>0.5</v>
      </c>
      <c r="F944" t="s">
        <v>1309</v>
      </c>
      <c r="G944">
        <v>0.5</v>
      </c>
      <c r="Q944" s="1"/>
      <c r="R944" s="1"/>
    </row>
    <row r="945" spans="1:18" ht="15.75" customHeight="1" x14ac:dyDescent="0.25">
      <c r="A945" s="2">
        <v>5443576</v>
      </c>
      <c r="B945">
        <v>5443576</v>
      </c>
      <c r="C945" t="str">
        <f>HYPERLINK("https://ois.dk/map/5443576/sfe", "Link")</f>
        <v>Link</v>
      </c>
      <c r="D945" t="s">
        <v>1310</v>
      </c>
      <c r="E945" s="17">
        <v>0.5</v>
      </c>
      <c r="F945" t="s">
        <v>1311</v>
      </c>
      <c r="G945">
        <v>0.5</v>
      </c>
      <c r="Q945" s="1"/>
      <c r="R945" s="1"/>
    </row>
    <row r="946" spans="1:18" ht="15.75" customHeight="1" x14ac:dyDescent="0.25">
      <c r="A946" s="2">
        <v>5443577</v>
      </c>
      <c r="B946">
        <v>5443577</v>
      </c>
      <c r="C946" t="str">
        <f>HYPERLINK("https://ois.dk/map/5443577/sfe", "Link")</f>
        <v>Link</v>
      </c>
      <c r="D946" t="s">
        <v>1312</v>
      </c>
      <c r="E946" s="17">
        <v>0.5</v>
      </c>
      <c r="F946" t="s">
        <v>1313</v>
      </c>
      <c r="G946">
        <v>0.5</v>
      </c>
      <c r="Q946" s="1"/>
      <c r="R946" s="1"/>
    </row>
    <row r="947" spans="1:18" ht="15.75" customHeight="1" x14ac:dyDescent="0.25">
      <c r="A947" s="2">
        <v>5443578</v>
      </c>
      <c r="B947">
        <v>5443578</v>
      </c>
      <c r="C947" t="str">
        <f>HYPERLINK("https://ois.dk/map/5443578/sfe", "Link")</f>
        <v>Link</v>
      </c>
      <c r="D947" t="s">
        <v>1314</v>
      </c>
      <c r="E947" s="17">
        <v>0.5</v>
      </c>
      <c r="F947" t="s">
        <v>1315</v>
      </c>
      <c r="G947">
        <v>0.5</v>
      </c>
      <c r="Q947" s="1"/>
      <c r="R947" s="1"/>
    </row>
    <row r="948" spans="1:18" ht="15.75" customHeight="1" x14ac:dyDescent="0.25">
      <c r="A948" s="2">
        <v>5443579</v>
      </c>
      <c r="B948">
        <v>5443579</v>
      </c>
      <c r="C948" t="str">
        <f>HYPERLINK("https://ois.dk/map/5443579/sfe", "Link")</f>
        <v>Link</v>
      </c>
      <c r="D948" t="s">
        <v>1316</v>
      </c>
      <c r="E948" s="17">
        <v>0.5</v>
      </c>
      <c r="F948" t="s">
        <v>1315</v>
      </c>
      <c r="G948">
        <v>0.5</v>
      </c>
      <c r="Q948" s="1"/>
      <c r="R948" s="1"/>
    </row>
    <row r="949" spans="1:18" ht="15.75" customHeight="1" x14ac:dyDescent="0.25">
      <c r="A949" s="2">
        <v>5443580</v>
      </c>
      <c r="B949">
        <v>5443580</v>
      </c>
      <c r="C949" t="str">
        <f>HYPERLINK("https://ois.dk/map/5443580/sfe", "Link")</f>
        <v>Link</v>
      </c>
      <c r="D949" t="s">
        <v>1317</v>
      </c>
      <c r="E949" s="17">
        <v>0.5</v>
      </c>
      <c r="F949" t="s">
        <v>1309</v>
      </c>
      <c r="G949">
        <v>0.5</v>
      </c>
      <c r="Q949" s="1"/>
      <c r="R949" s="1"/>
    </row>
    <row r="950" spans="1:18" ht="15.75" customHeight="1" x14ac:dyDescent="0.25">
      <c r="A950" s="2">
        <v>5443581</v>
      </c>
      <c r="B950">
        <v>5443581</v>
      </c>
      <c r="C950" t="str">
        <f>HYPERLINK("https://ois.dk/map/5443581/sfe", "Link")</f>
        <v>Link</v>
      </c>
      <c r="D950" t="s">
        <v>1318</v>
      </c>
      <c r="E950" s="17">
        <v>0.5</v>
      </c>
      <c r="F950" t="s">
        <v>1319</v>
      </c>
      <c r="G950">
        <v>0.5</v>
      </c>
      <c r="Q950" s="1"/>
      <c r="R950" s="1"/>
    </row>
    <row r="951" spans="1:18" ht="15.75" customHeight="1" x14ac:dyDescent="0.25">
      <c r="A951" s="2">
        <v>5443582</v>
      </c>
      <c r="B951">
        <v>5443582</v>
      </c>
      <c r="C951" t="str">
        <f>HYPERLINK("https://ois.dk/map/5443582/sfe", "Link")</f>
        <v>Link</v>
      </c>
      <c r="D951" t="s">
        <v>1320</v>
      </c>
      <c r="E951" s="17">
        <v>0.5</v>
      </c>
      <c r="F951" t="s">
        <v>1321</v>
      </c>
      <c r="G951">
        <v>0.5</v>
      </c>
      <c r="Q951" s="1"/>
      <c r="R951" s="1"/>
    </row>
    <row r="952" spans="1:18" ht="15.75" customHeight="1" x14ac:dyDescent="0.25">
      <c r="A952" s="2">
        <v>5443583</v>
      </c>
      <c r="B952">
        <v>5443583</v>
      </c>
      <c r="C952" t="str">
        <f>HYPERLINK("https://ois.dk/map/5443583/sfe", "Link")</f>
        <v>Link</v>
      </c>
      <c r="D952" t="s">
        <v>1322</v>
      </c>
      <c r="E952" s="17">
        <v>0.5</v>
      </c>
      <c r="F952" t="s">
        <v>1323</v>
      </c>
      <c r="G952">
        <v>0.5</v>
      </c>
      <c r="Q952" s="1"/>
      <c r="R952" s="1"/>
    </row>
    <row r="953" spans="1:18" ht="15.75" customHeight="1" x14ac:dyDescent="0.25">
      <c r="A953" s="2">
        <v>5443584</v>
      </c>
      <c r="B953">
        <v>5443584</v>
      </c>
      <c r="C953" t="str">
        <f>HYPERLINK("https://ois.dk/map/5443584/sfe", "Link")</f>
        <v>Link</v>
      </c>
      <c r="D953" t="s">
        <v>1324</v>
      </c>
      <c r="E953" s="17">
        <v>0.5</v>
      </c>
      <c r="F953" t="s">
        <v>1325</v>
      </c>
      <c r="G953">
        <v>0.5</v>
      </c>
      <c r="Q953" s="1"/>
      <c r="R953" s="1"/>
    </row>
    <row r="954" spans="1:18" ht="15.75" customHeight="1" x14ac:dyDescent="0.25">
      <c r="A954" s="2">
        <v>5443585</v>
      </c>
      <c r="B954">
        <v>5443585</v>
      </c>
      <c r="C954" t="str">
        <f>HYPERLINK("https://ois.dk/map/5443585/sfe", "Link")</f>
        <v>Link</v>
      </c>
      <c r="D954" t="s">
        <v>1326</v>
      </c>
      <c r="E954" s="17">
        <v>0.5</v>
      </c>
      <c r="F954" t="s">
        <v>1327</v>
      </c>
      <c r="G954">
        <v>0.5</v>
      </c>
      <c r="Q954" s="1"/>
      <c r="R954" s="1"/>
    </row>
    <row r="955" spans="1:18" ht="15.75" customHeight="1" x14ac:dyDescent="0.25">
      <c r="A955" s="2">
        <v>5443586</v>
      </c>
      <c r="B955">
        <v>5443586</v>
      </c>
      <c r="C955" t="str">
        <f>HYPERLINK("https://ois.dk/map/5443586/sfe", "Link")</f>
        <v>Link</v>
      </c>
      <c r="D955" t="s">
        <v>1328</v>
      </c>
      <c r="E955" s="17">
        <v>0.5</v>
      </c>
      <c r="F955" t="s">
        <v>1329</v>
      </c>
      <c r="G955">
        <v>0.5</v>
      </c>
      <c r="Q955" s="1"/>
      <c r="R955" s="1"/>
    </row>
    <row r="956" spans="1:18" ht="15.75" customHeight="1" x14ac:dyDescent="0.25">
      <c r="A956" s="2">
        <v>5443587</v>
      </c>
      <c r="B956">
        <v>5443587</v>
      </c>
      <c r="C956" t="str">
        <f>HYPERLINK("https://ois.dk/map/5443587/sfe", "Link")</f>
        <v>Link</v>
      </c>
      <c r="D956" t="s">
        <v>1330</v>
      </c>
      <c r="E956" s="17">
        <v>0.5</v>
      </c>
      <c r="F956" t="s">
        <v>1331</v>
      </c>
      <c r="G956">
        <v>0.5</v>
      </c>
      <c r="Q956" s="1"/>
      <c r="R956" s="1"/>
    </row>
    <row r="957" spans="1:18" ht="15.75" customHeight="1" x14ac:dyDescent="0.25">
      <c r="A957" s="2">
        <v>5443588</v>
      </c>
      <c r="B957">
        <v>5443588</v>
      </c>
      <c r="C957" t="str">
        <f>HYPERLINK("https://ois.dk/map/5443588/sfe", "Link")</f>
        <v>Link</v>
      </c>
      <c r="D957" t="s">
        <v>228</v>
      </c>
      <c r="E957" s="17">
        <v>0.5</v>
      </c>
      <c r="F957" t="s">
        <v>1332</v>
      </c>
      <c r="G957">
        <v>0.5</v>
      </c>
      <c r="Q957" s="1"/>
      <c r="R957" s="1"/>
    </row>
    <row r="958" spans="1:18" ht="15.75" customHeight="1" x14ac:dyDescent="0.25">
      <c r="A958" s="2">
        <v>5443589</v>
      </c>
      <c r="B958">
        <v>5443589</v>
      </c>
      <c r="C958" t="str">
        <f>HYPERLINK("https://ois.dk/map/5443589/sfe", "Link")</f>
        <v>Link</v>
      </c>
      <c r="D958" t="s">
        <v>230</v>
      </c>
      <c r="E958" s="17">
        <v>0.5</v>
      </c>
      <c r="F958" t="s">
        <v>1333</v>
      </c>
      <c r="G958">
        <v>0.5</v>
      </c>
      <c r="Q958" s="1"/>
      <c r="R958" s="1"/>
    </row>
    <row r="959" spans="1:18" ht="15.75" customHeight="1" x14ac:dyDescent="0.25">
      <c r="A959" s="2">
        <v>5443590</v>
      </c>
      <c r="B959">
        <v>5443590</v>
      </c>
      <c r="C959" t="str">
        <f>HYPERLINK("https://ois.dk/map/5443590/sfe", "Link")</f>
        <v>Link</v>
      </c>
      <c r="D959" t="s">
        <v>1334</v>
      </c>
      <c r="E959" s="17">
        <v>0.75</v>
      </c>
      <c r="F959" t="s">
        <v>1335</v>
      </c>
      <c r="G959">
        <v>0.5</v>
      </c>
      <c r="H959">
        <v>0.25</v>
      </c>
      <c r="Q959" s="1"/>
      <c r="R959" s="1"/>
    </row>
    <row r="960" spans="1:18" ht="15.75" customHeight="1" x14ac:dyDescent="0.25">
      <c r="A960" s="2">
        <v>5443591</v>
      </c>
      <c r="B960">
        <v>5443591</v>
      </c>
      <c r="C960" t="str">
        <f>HYPERLINK("https://ois.dk/map/5443591/sfe", "Link")</f>
        <v>Link</v>
      </c>
      <c r="D960" t="s">
        <v>1336</v>
      </c>
      <c r="E960" s="17">
        <v>0.75</v>
      </c>
      <c r="F960" t="s">
        <v>1337</v>
      </c>
      <c r="G960">
        <v>0.5</v>
      </c>
      <c r="H960">
        <v>0.25</v>
      </c>
      <c r="Q960" s="1"/>
      <c r="R960" s="1"/>
    </row>
    <row r="961" spans="1:18" ht="15.75" customHeight="1" x14ac:dyDescent="0.25">
      <c r="A961" s="2">
        <v>5443592</v>
      </c>
      <c r="B961">
        <v>5443592</v>
      </c>
      <c r="C961" t="str">
        <f>HYPERLINK("https://ois.dk/map/5443592/sfe", "Link")</f>
        <v>Link</v>
      </c>
      <c r="D961" t="s">
        <v>1338</v>
      </c>
      <c r="E961" s="17">
        <v>0.75</v>
      </c>
      <c r="F961" t="s">
        <v>1339</v>
      </c>
      <c r="G961">
        <v>0.5</v>
      </c>
      <c r="H961">
        <v>0.25</v>
      </c>
      <c r="Q961" s="1"/>
      <c r="R961" s="1"/>
    </row>
    <row r="962" spans="1:18" ht="15.75" customHeight="1" x14ac:dyDescent="0.25">
      <c r="A962" s="2">
        <v>5443593</v>
      </c>
      <c r="B962">
        <v>5443593</v>
      </c>
      <c r="C962" t="str">
        <f>HYPERLINK("https://ois.dk/map/5443593/sfe", "Link")</f>
        <v>Link</v>
      </c>
      <c r="D962" t="s">
        <v>1340</v>
      </c>
      <c r="E962" s="17">
        <v>0.75</v>
      </c>
      <c r="F962" t="s">
        <v>1341</v>
      </c>
      <c r="G962">
        <v>0.5</v>
      </c>
      <c r="H962">
        <v>0.25</v>
      </c>
      <c r="Q962" s="1"/>
      <c r="R962" s="1"/>
    </row>
    <row r="963" spans="1:18" ht="15.75" customHeight="1" x14ac:dyDescent="0.25">
      <c r="A963" s="2">
        <v>5443594</v>
      </c>
      <c r="B963">
        <v>5443594</v>
      </c>
      <c r="C963" t="str">
        <f>HYPERLINK("https://ois.dk/map/5443594/sfe", "Link")</f>
        <v>Link</v>
      </c>
      <c r="D963" t="s">
        <v>1342</v>
      </c>
      <c r="E963" s="17">
        <v>0.5</v>
      </c>
      <c r="F963" t="s">
        <v>1343</v>
      </c>
      <c r="G963">
        <v>0.5</v>
      </c>
      <c r="Q963" s="1"/>
      <c r="R963" s="1"/>
    </row>
    <row r="964" spans="1:18" ht="15.75" customHeight="1" x14ac:dyDescent="0.25">
      <c r="A964" s="2">
        <v>5443595</v>
      </c>
      <c r="B964">
        <v>5443595</v>
      </c>
      <c r="C964" t="str">
        <f>HYPERLINK("https://ois.dk/map/5443595/sfe", "Link")</f>
        <v>Link</v>
      </c>
      <c r="D964" t="s">
        <v>1344</v>
      </c>
      <c r="E964" s="17">
        <v>0.5</v>
      </c>
      <c r="F964" t="s">
        <v>1345</v>
      </c>
      <c r="G964">
        <v>0.5</v>
      </c>
      <c r="Q964" s="1"/>
      <c r="R964" s="1"/>
    </row>
    <row r="965" spans="1:18" ht="15.75" customHeight="1" x14ac:dyDescent="0.25">
      <c r="A965" s="2">
        <v>5443596</v>
      </c>
      <c r="B965">
        <v>5443596</v>
      </c>
      <c r="C965" t="str">
        <f>HYPERLINK("https://ois.dk/map/5443596/sfe", "Link")</f>
        <v>Link</v>
      </c>
      <c r="D965" t="s">
        <v>1346</v>
      </c>
      <c r="E965" s="17">
        <v>0.5</v>
      </c>
      <c r="F965" t="s">
        <v>1347</v>
      </c>
      <c r="G965">
        <v>0.5</v>
      </c>
      <c r="Q965" s="1"/>
      <c r="R965" s="1"/>
    </row>
    <row r="966" spans="1:18" ht="15.75" customHeight="1" x14ac:dyDescent="0.25">
      <c r="A966" s="2">
        <v>5443597</v>
      </c>
      <c r="B966">
        <v>5443597</v>
      </c>
      <c r="C966" t="str">
        <f>HYPERLINK("https://ois.dk/map/5443597/sfe", "Link")</f>
        <v>Link</v>
      </c>
      <c r="D966" t="s">
        <v>1348</v>
      </c>
      <c r="E966" s="17">
        <v>0.5</v>
      </c>
      <c r="F966" t="s">
        <v>1349</v>
      </c>
      <c r="G966">
        <v>0.5</v>
      </c>
      <c r="Q966" s="1"/>
      <c r="R966" s="1"/>
    </row>
    <row r="967" spans="1:18" ht="15.75" customHeight="1" x14ac:dyDescent="0.25">
      <c r="A967" s="2">
        <v>5443598</v>
      </c>
      <c r="B967">
        <v>5443598</v>
      </c>
      <c r="C967" t="str">
        <f>HYPERLINK("https://ois.dk/map/5443598/sfe", "Link")</f>
        <v>Link</v>
      </c>
      <c r="D967" t="s">
        <v>1350</v>
      </c>
      <c r="E967" s="17">
        <v>0.5</v>
      </c>
      <c r="F967" t="s">
        <v>1351</v>
      </c>
      <c r="G967">
        <v>0.5</v>
      </c>
      <c r="Q967" s="1"/>
      <c r="R967" s="1"/>
    </row>
    <row r="968" spans="1:18" ht="15.75" customHeight="1" x14ac:dyDescent="0.25">
      <c r="A968" s="2">
        <v>5443599</v>
      </c>
      <c r="B968">
        <v>5443599</v>
      </c>
      <c r="C968" t="str">
        <f>HYPERLINK("https://ois.dk/map/5443599/sfe", "Link")</f>
        <v>Link</v>
      </c>
      <c r="D968" t="s">
        <v>1352</v>
      </c>
      <c r="E968" s="17">
        <v>0.5</v>
      </c>
      <c r="F968" t="s">
        <v>1353</v>
      </c>
      <c r="G968">
        <v>0.5</v>
      </c>
      <c r="Q968" s="1"/>
      <c r="R968" s="1"/>
    </row>
    <row r="969" spans="1:18" ht="15.75" customHeight="1" x14ac:dyDescent="0.25">
      <c r="A969" s="2">
        <v>5443600</v>
      </c>
      <c r="B969">
        <v>5443600</v>
      </c>
      <c r="C969" t="str">
        <f>HYPERLINK("https://ois.dk/map/5443600/sfe", "Link")</f>
        <v>Link</v>
      </c>
      <c r="D969" t="s">
        <v>1354</v>
      </c>
      <c r="E969" s="17">
        <v>0.5</v>
      </c>
      <c r="F969" t="s">
        <v>1355</v>
      </c>
      <c r="G969">
        <v>0.5</v>
      </c>
      <c r="Q969" s="1"/>
      <c r="R969" s="1"/>
    </row>
    <row r="970" spans="1:18" ht="15.75" customHeight="1" x14ac:dyDescent="0.25">
      <c r="A970" s="2">
        <v>5443601</v>
      </c>
      <c r="B970">
        <v>5443601</v>
      </c>
      <c r="C970" t="str">
        <f>HYPERLINK("https://ois.dk/map/5443601/sfe", "Link")</f>
        <v>Link</v>
      </c>
      <c r="D970" t="s">
        <v>1356</v>
      </c>
      <c r="E970" s="17">
        <v>0.75</v>
      </c>
      <c r="F970" t="s">
        <v>1357</v>
      </c>
      <c r="G970">
        <v>0.5</v>
      </c>
      <c r="H970">
        <v>0.25</v>
      </c>
      <c r="Q970" s="1"/>
      <c r="R970" s="1"/>
    </row>
    <row r="971" spans="1:18" ht="15.75" customHeight="1" x14ac:dyDescent="0.25">
      <c r="A971" s="2">
        <v>5443603</v>
      </c>
      <c r="B971">
        <v>5443603</v>
      </c>
      <c r="C971" t="str">
        <f t="shared" ref="C971:C984" si="31">HYPERLINK("https://ois.dk/map/5443603/sfe", "Link")</f>
        <v>Link</v>
      </c>
      <c r="D971" t="s">
        <v>1358</v>
      </c>
      <c r="E971" s="17">
        <v>0.25</v>
      </c>
      <c r="F971" t="s">
        <v>1359</v>
      </c>
      <c r="H971">
        <v>0.25</v>
      </c>
      <c r="Q971" s="1"/>
      <c r="R971" s="1"/>
    </row>
    <row r="972" spans="1:18" ht="15.75" customHeight="1" x14ac:dyDescent="0.25">
      <c r="A972" s="2">
        <v>5443603</v>
      </c>
      <c r="B972">
        <v>5443603</v>
      </c>
      <c r="C972" t="str">
        <f t="shared" si="31"/>
        <v>Link</v>
      </c>
      <c r="D972" t="s">
        <v>1358</v>
      </c>
      <c r="E972" s="17">
        <v>0.5</v>
      </c>
      <c r="F972" t="s">
        <v>1360</v>
      </c>
      <c r="G972">
        <v>0.5</v>
      </c>
      <c r="Q972" s="1"/>
      <c r="R972" s="1"/>
    </row>
    <row r="973" spans="1:18" ht="15.75" customHeight="1" x14ac:dyDescent="0.25">
      <c r="A973" s="2">
        <v>5443603</v>
      </c>
      <c r="B973">
        <v>5443603</v>
      </c>
      <c r="C973" t="str">
        <f t="shared" si="31"/>
        <v>Link</v>
      </c>
      <c r="D973" t="s">
        <v>1358</v>
      </c>
      <c r="E973" s="17">
        <v>0.5</v>
      </c>
      <c r="F973" t="s">
        <v>1361</v>
      </c>
      <c r="G973">
        <v>0.5</v>
      </c>
      <c r="Q973" s="1"/>
      <c r="R973" s="1"/>
    </row>
    <row r="974" spans="1:18" ht="15.75" customHeight="1" x14ac:dyDescent="0.25">
      <c r="A974" s="2">
        <v>5443603</v>
      </c>
      <c r="B974">
        <v>5443603</v>
      </c>
      <c r="C974" t="str">
        <f t="shared" si="31"/>
        <v>Link</v>
      </c>
      <c r="D974" t="s">
        <v>1358</v>
      </c>
      <c r="E974" s="17">
        <v>0.5</v>
      </c>
      <c r="F974" t="s">
        <v>1362</v>
      </c>
      <c r="G974">
        <v>0.5</v>
      </c>
      <c r="Q974" s="1"/>
      <c r="R974" s="1"/>
    </row>
    <row r="975" spans="1:18" ht="15.75" customHeight="1" x14ac:dyDescent="0.25">
      <c r="A975" s="2">
        <v>5443603</v>
      </c>
      <c r="B975">
        <v>5443603</v>
      </c>
      <c r="C975" t="str">
        <f t="shared" si="31"/>
        <v>Link</v>
      </c>
      <c r="D975" t="s">
        <v>1358</v>
      </c>
      <c r="E975" s="17">
        <v>0.5</v>
      </c>
      <c r="F975" t="s">
        <v>1363</v>
      </c>
      <c r="G975">
        <v>0.5</v>
      </c>
      <c r="Q975" s="1"/>
      <c r="R975" s="1"/>
    </row>
    <row r="976" spans="1:18" ht="15.75" customHeight="1" x14ac:dyDescent="0.25">
      <c r="A976" s="2">
        <v>5443603</v>
      </c>
      <c r="B976">
        <v>5443603</v>
      </c>
      <c r="C976" t="str">
        <f t="shared" si="31"/>
        <v>Link</v>
      </c>
      <c r="D976" t="s">
        <v>1358</v>
      </c>
      <c r="E976" s="17">
        <v>0.5</v>
      </c>
      <c r="F976" t="s">
        <v>1364</v>
      </c>
      <c r="G976">
        <v>0.5</v>
      </c>
      <c r="Q976" s="1"/>
      <c r="R976" s="1"/>
    </row>
    <row r="977" spans="1:18" ht="15.75" customHeight="1" x14ac:dyDescent="0.25">
      <c r="A977" s="2">
        <v>5443603</v>
      </c>
      <c r="B977">
        <v>5443603</v>
      </c>
      <c r="C977" t="str">
        <f t="shared" si="31"/>
        <v>Link</v>
      </c>
      <c r="D977" t="s">
        <v>1358</v>
      </c>
      <c r="E977" s="17">
        <v>0.5</v>
      </c>
      <c r="F977" t="s">
        <v>1359</v>
      </c>
      <c r="G977">
        <v>0.5</v>
      </c>
      <c r="Q977" s="1"/>
      <c r="R977" s="1"/>
    </row>
    <row r="978" spans="1:18" ht="15.75" customHeight="1" x14ac:dyDescent="0.25">
      <c r="A978" s="2">
        <v>5443603</v>
      </c>
      <c r="B978">
        <v>5443603</v>
      </c>
      <c r="C978" t="str">
        <f t="shared" si="31"/>
        <v>Link</v>
      </c>
      <c r="D978" t="s">
        <v>1358</v>
      </c>
      <c r="E978" s="17">
        <v>0.5</v>
      </c>
      <c r="F978" t="s">
        <v>1365</v>
      </c>
      <c r="G978">
        <v>0.5</v>
      </c>
      <c r="Q978" s="1"/>
      <c r="R978" s="1"/>
    </row>
    <row r="979" spans="1:18" ht="15.75" customHeight="1" x14ac:dyDescent="0.25">
      <c r="A979" s="2">
        <v>5443603</v>
      </c>
      <c r="B979">
        <v>5443603</v>
      </c>
      <c r="C979" t="str">
        <f t="shared" si="31"/>
        <v>Link</v>
      </c>
      <c r="D979" t="s">
        <v>1358</v>
      </c>
      <c r="E979" s="17">
        <v>0.5</v>
      </c>
      <c r="F979" t="s">
        <v>1366</v>
      </c>
      <c r="G979">
        <v>0.5</v>
      </c>
      <c r="Q979" s="1"/>
      <c r="R979" s="1"/>
    </row>
    <row r="980" spans="1:18" ht="15.75" customHeight="1" x14ac:dyDescent="0.25">
      <c r="A980" s="2">
        <v>5443603</v>
      </c>
      <c r="B980">
        <v>5443603</v>
      </c>
      <c r="C980" t="str">
        <f t="shared" si="31"/>
        <v>Link</v>
      </c>
      <c r="D980" t="s">
        <v>1358</v>
      </c>
      <c r="E980" s="17">
        <v>0.5</v>
      </c>
      <c r="F980" t="s">
        <v>1367</v>
      </c>
      <c r="G980">
        <v>0.5</v>
      </c>
      <c r="Q980" s="1"/>
      <c r="R980" s="1"/>
    </row>
    <row r="981" spans="1:18" ht="15.75" customHeight="1" x14ac:dyDescent="0.25">
      <c r="A981" s="2">
        <v>5443603</v>
      </c>
      <c r="B981">
        <v>5443603</v>
      </c>
      <c r="C981" t="str">
        <f t="shared" si="31"/>
        <v>Link</v>
      </c>
      <c r="D981" t="s">
        <v>1358</v>
      </c>
      <c r="E981" s="17">
        <v>0.5</v>
      </c>
      <c r="F981" t="s">
        <v>1368</v>
      </c>
      <c r="G981">
        <v>0.5</v>
      </c>
      <c r="Q981" s="1"/>
      <c r="R981" s="1"/>
    </row>
    <row r="982" spans="1:18" ht="15.75" customHeight="1" x14ac:dyDescent="0.25">
      <c r="A982" s="2">
        <v>5443603</v>
      </c>
      <c r="B982">
        <v>5443603</v>
      </c>
      <c r="C982" t="str">
        <f t="shared" si="31"/>
        <v>Link</v>
      </c>
      <c r="D982" t="s">
        <v>1358</v>
      </c>
      <c r="E982" s="17">
        <v>0.5</v>
      </c>
      <c r="F982" t="s">
        <v>1369</v>
      </c>
      <c r="G982">
        <v>0.5</v>
      </c>
      <c r="Q982" s="1"/>
      <c r="R982" s="1"/>
    </row>
    <row r="983" spans="1:18" ht="15.75" customHeight="1" x14ac:dyDescent="0.25">
      <c r="A983" s="2">
        <v>5443603</v>
      </c>
      <c r="B983">
        <v>5443603</v>
      </c>
      <c r="C983" t="str">
        <f t="shared" si="31"/>
        <v>Link</v>
      </c>
      <c r="D983" t="s">
        <v>1358</v>
      </c>
      <c r="E983" s="17">
        <v>0.5</v>
      </c>
      <c r="F983" t="s">
        <v>1370</v>
      </c>
      <c r="G983">
        <v>0.5</v>
      </c>
      <c r="Q983" s="1"/>
      <c r="R983" s="1"/>
    </row>
    <row r="984" spans="1:18" ht="15.75" customHeight="1" x14ac:dyDescent="0.25">
      <c r="A984" s="2">
        <v>5443603</v>
      </c>
      <c r="B984">
        <v>5443603</v>
      </c>
      <c r="C984" t="str">
        <f t="shared" si="31"/>
        <v>Link</v>
      </c>
      <c r="D984" t="s">
        <v>1358</v>
      </c>
      <c r="E984" s="17">
        <v>0.5</v>
      </c>
      <c r="F984" t="s">
        <v>1371</v>
      </c>
      <c r="G984">
        <v>0.5</v>
      </c>
      <c r="Q984" s="1"/>
      <c r="R984" s="1"/>
    </row>
    <row r="985" spans="1:18" ht="15.75" customHeight="1" x14ac:dyDescent="0.25">
      <c r="A985" s="2">
        <v>5443605</v>
      </c>
      <c r="B985">
        <v>5443605</v>
      </c>
      <c r="C985" t="str">
        <f>HYPERLINK("https://ois.dk/map/5443605/sfe", "Link")</f>
        <v>Link</v>
      </c>
      <c r="D985" t="s">
        <v>1372</v>
      </c>
      <c r="E985" s="17">
        <v>0.5</v>
      </c>
      <c r="F985" t="s">
        <v>1373</v>
      </c>
      <c r="G985">
        <v>0.5</v>
      </c>
      <c r="Q985" s="1"/>
      <c r="R985" s="1"/>
    </row>
    <row r="986" spans="1:18" ht="15.75" customHeight="1" x14ac:dyDescent="0.25">
      <c r="A986" s="2">
        <v>5443606</v>
      </c>
      <c r="B986">
        <v>5443606</v>
      </c>
      <c r="C986" t="str">
        <f>HYPERLINK("https://ois.dk/map/5443606/sfe", "Link")</f>
        <v>Link</v>
      </c>
      <c r="D986" t="s">
        <v>1374</v>
      </c>
      <c r="E986" s="17">
        <v>0.5</v>
      </c>
      <c r="F986" t="s">
        <v>1375</v>
      </c>
      <c r="G986">
        <v>0.5</v>
      </c>
      <c r="Q986" s="1"/>
      <c r="R986" s="1"/>
    </row>
    <row r="987" spans="1:18" ht="15.75" customHeight="1" x14ac:dyDescent="0.25">
      <c r="A987" s="2">
        <v>5443607</v>
      </c>
      <c r="B987">
        <v>5443607</v>
      </c>
      <c r="C987" t="str">
        <f t="shared" ref="C987:C994" si="32">HYPERLINK("https://ois.dk/map/5443607/sfe", "Link")</f>
        <v>Link</v>
      </c>
      <c r="D987" t="s">
        <v>1376</v>
      </c>
      <c r="E987" s="17">
        <v>0.5</v>
      </c>
      <c r="F987" t="s">
        <v>1377</v>
      </c>
      <c r="G987">
        <v>0.5</v>
      </c>
      <c r="Q987" s="1"/>
      <c r="R987" s="1"/>
    </row>
    <row r="988" spans="1:18" ht="15.75" customHeight="1" x14ac:dyDescent="0.25">
      <c r="A988" s="2">
        <v>5443607</v>
      </c>
      <c r="B988">
        <v>5443607</v>
      </c>
      <c r="C988" t="str">
        <f t="shared" si="32"/>
        <v>Link</v>
      </c>
      <c r="D988" t="s">
        <v>1376</v>
      </c>
      <c r="E988" s="17">
        <v>0.5</v>
      </c>
      <c r="F988" t="s">
        <v>1378</v>
      </c>
      <c r="G988">
        <v>0.5</v>
      </c>
      <c r="Q988" s="1"/>
      <c r="R988" s="1"/>
    </row>
    <row r="989" spans="1:18" ht="15.75" customHeight="1" x14ac:dyDescent="0.25">
      <c r="A989" s="2">
        <v>5443607</v>
      </c>
      <c r="B989">
        <v>5443607</v>
      </c>
      <c r="C989" t="str">
        <f t="shared" si="32"/>
        <v>Link</v>
      </c>
      <c r="D989" t="s">
        <v>1376</v>
      </c>
      <c r="E989" s="17">
        <v>0.5</v>
      </c>
      <c r="F989" t="s">
        <v>1379</v>
      </c>
      <c r="G989">
        <v>0.5</v>
      </c>
      <c r="Q989" s="1"/>
      <c r="R989" s="1"/>
    </row>
    <row r="990" spans="1:18" ht="15.75" customHeight="1" x14ac:dyDescent="0.25">
      <c r="A990" s="2">
        <v>5443607</v>
      </c>
      <c r="B990">
        <v>5443607</v>
      </c>
      <c r="C990" t="str">
        <f t="shared" si="32"/>
        <v>Link</v>
      </c>
      <c r="D990" t="s">
        <v>1376</v>
      </c>
      <c r="E990" s="17">
        <v>0.5</v>
      </c>
      <c r="F990" t="s">
        <v>1380</v>
      </c>
      <c r="G990">
        <v>0.5</v>
      </c>
      <c r="Q990" s="1"/>
      <c r="R990" s="1"/>
    </row>
    <row r="991" spans="1:18" ht="15.75" customHeight="1" x14ac:dyDescent="0.25">
      <c r="A991" s="2">
        <v>5443607</v>
      </c>
      <c r="B991">
        <v>5443607</v>
      </c>
      <c r="C991" t="str">
        <f t="shared" si="32"/>
        <v>Link</v>
      </c>
      <c r="D991" t="s">
        <v>1376</v>
      </c>
      <c r="E991" s="17">
        <v>0.5</v>
      </c>
      <c r="F991" t="s">
        <v>1381</v>
      </c>
      <c r="G991">
        <v>0.5</v>
      </c>
      <c r="Q991" s="1"/>
      <c r="R991" s="1"/>
    </row>
    <row r="992" spans="1:18" ht="15.75" customHeight="1" x14ac:dyDescent="0.25">
      <c r="A992" s="2">
        <v>5443607</v>
      </c>
      <c r="B992">
        <v>5443607</v>
      </c>
      <c r="C992" t="str">
        <f t="shared" si="32"/>
        <v>Link</v>
      </c>
      <c r="D992" t="s">
        <v>1376</v>
      </c>
      <c r="E992" s="17">
        <v>0.5</v>
      </c>
      <c r="F992" t="s">
        <v>1382</v>
      </c>
      <c r="G992">
        <v>0.5</v>
      </c>
      <c r="Q992" s="1"/>
      <c r="R992" s="1"/>
    </row>
    <row r="993" spans="1:19" ht="15.75" customHeight="1" x14ac:dyDescent="0.25">
      <c r="A993" s="2">
        <v>5443607</v>
      </c>
      <c r="B993">
        <v>5443607</v>
      </c>
      <c r="C993" t="str">
        <f t="shared" si="32"/>
        <v>Link</v>
      </c>
      <c r="D993" t="s">
        <v>1376</v>
      </c>
      <c r="E993" s="17">
        <v>0.5</v>
      </c>
      <c r="F993" t="s">
        <v>1383</v>
      </c>
      <c r="G993">
        <v>0.5</v>
      </c>
      <c r="Q993" s="1"/>
      <c r="R993" s="1"/>
    </row>
    <row r="994" spans="1:19" ht="15.75" customHeight="1" x14ac:dyDescent="0.25">
      <c r="A994" s="2">
        <v>5443607</v>
      </c>
      <c r="B994">
        <v>5443607</v>
      </c>
      <c r="C994" t="str">
        <f t="shared" si="32"/>
        <v>Link</v>
      </c>
      <c r="D994" t="s">
        <v>1376</v>
      </c>
      <c r="E994" s="17">
        <v>0.5</v>
      </c>
      <c r="F994" t="s">
        <v>1384</v>
      </c>
      <c r="G994">
        <v>0.5</v>
      </c>
      <c r="Q994" s="1"/>
      <c r="R994" s="1"/>
    </row>
    <row r="995" spans="1:19" ht="15.75" customHeight="1" x14ac:dyDescent="0.25">
      <c r="A995" s="2">
        <v>5443608</v>
      </c>
      <c r="B995">
        <v>5443608</v>
      </c>
      <c r="C995" t="str">
        <f>HYPERLINK("https://ois.dk/map/5443608/sfe", "Link")</f>
        <v>Link</v>
      </c>
      <c r="D995" t="s">
        <v>1385</v>
      </c>
      <c r="E995" s="17">
        <v>2.0499999999999998</v>
      </c>
      <c r="F995" t="s">
        <v>1386</v>
      </c>
      <c r="G995">
        <v>0.5</v>
      </c>
      <c r="H995">
        <v>0.25</v>
      </c>
      <c r="I995">
        <v>1</v>
      </c>
      <c r="J995">
        <v>0.3</v>
      </c>
      <c r="Q995" s="1"/>
      <c r="R995" s="1">
        <v>1.7</v>
      </c>
      <c r="S995">
        <v>1.42</v>
      </c>
    </row>
    <row r="996" spans="1:19" ht="15.75" customHeight="1" x14ac:dyDescent="0.25">
      <c r="A996" s="2">
        <v>5443609</v>
      </c>
      <c r="B996">
        <v>5443609</v>
      </c>
      <c r="C996" t="str">
        <f>HYPERLINK("https://ois.dk/map/5443609/sfe", "Link")</f>
        <v>Link</v>
      </c>
      <c r="D996" t="s">
        <v>1387</v>
      </c>
      <c r="E996" s="17">
        <v>0.5</v>
      </c>
      <c r="F996" t="s">
        <v>1388</v>
      </c>
      <c r="G996">
        <v>0.5</v>
      </c>
      <c r="Q996" s="1"/>
      <c r="R996" s="1"/>
    </row>
    <row r="997" spans="1:19" ht="15.75" customHeight="1" x14ac:dyDescent="0.25">
      <c r="A997" s="2">
        <v>5443610</v>
      </c>
      <c r="B997">
        <v>5443610</v>
      </c>
      <c r="C997" t="str">
        <f>HYPERLINK("https://ois.dk/map/5443610/sfe", "Link")</f>
        <v>Link</v>
      </c>
      <c r="D997" t="s">
        <v>1389</v>
      </c>
      <c r="E997" s="17">
        <v>0.5</v>
      </c>
      <c r="F997" t="s">
        <v>1390</v>
      </c>
      <c r="G997">
        <v>0.5</v>
      </c>
      <c r="Q997" s="1"/>
      <c r="R997" s="1"/>
    </row>
    <row r="998" spans="1:19" ht="15.75" customHeight="1" x14ac:dyDescent="0.25">
      <c r="A998" s="2">
        <v>5443611</v>
      </c>
      <c r="B998">
        <v>5443611</v>
      </c>
      <c r="C998" t="str">
        <f>HYPERLINK("https://ois.dk/map/5443611/sfe", "Link")</f>
        <v>Link</v>
      </c>
      <c r="D998" t="s">
        <v>1391</v>
      </c>
      <c r="E998" s="17">
        <v>0.75</v>
      </c>
      <c r="F998" t="s">
        <v>1392</v>
      </c>
      <c r="G998">
        <v>0.5</v>
      </c>
      <c r="H998">
        <v>0.25</v>
      </c>
      <c r="Q998" s="1"/>
      <c r="R998" s="1"/>
    </row>
    <row r="999" spans="1:19" ht="15.75" customHeight="1" x14ac:dyDescent="0.25">
      <c r="A999" s="2">
        <v>5443612</v>
      </c>
      <c r="B999">
        <v>5443612</v>
      </c>
      <c r="C999" t="str">
        <f>HYPERLINK("https://ois.dk/map/5443612/sfe", "Link")</f>
        <v>Link</v>
      </c>
      <c r="D999" t="s">
        <v>1393</v>
      </c>
      <c r="E999" s="17">
        <v>0.75</v>
      </c>
      <c r="F999" t="s">
        <v>1394</v>
      </c>
      <c r="G999">
        <v>0.5</v>
      </c>
      <c r="H999">
        <v>0.25</v>
      </c>
      <c r="Q999" s="1"/>
      <c r="R999" s="1"/>
    </row>
    <row r="1000" spans="1:19" ht="15.75" customHeight="1" x14ac:dyDescent="0.25">
      <c r="A1000" s="2">
        <v>5443613</v>
      </c>
      <c r="B1000">
        <v>5443613</v>
      </c>
      <c r="C1000" t="str">
        <f>HYPERLINK("https://ois.dk/map/5443613/sfe", "Link")</f>
        <v>Link</v>
      </c>
      <c r="D1000" t="s">
        <v>1395</v>
      </c>
      <c r="E1000" s="17">
        <v>1.05</v>
      </c>
      <c r="F1000" t="s">
        <v>1396</v>
      </c>
      <c r="G1000">
        <v>0.5</v>
      </c>
      <c r="H1000">
        <v>0.25</v>
      </c>
      <c r="J1000">
        <v>0.3</v>
      </c>
      <c r="Q1000" s="1"/>
      <c r="R1000" s="1"/>
      <c r="S1000">
        <v>1.6</v>
      </c>
    </row>
    <row r="1001" spans="1:19" ht="15.75" customHeight="1" x14ac:dyDescent="0.25">
      <c r="A1001" s="2">
        <v>5443614</v>
      </c>
      <c r="B1001">
        <v>5443614</v>
      </c>
      <c r="C1001" t="str">
        <f>HYPERLINK("https://ois.dk/map/5443614/sfe", "Link")</f>
        <v>Link</v>
      </c>
      <c r="D1001" t="s">
        <v>1397</v>
      </c>
      <c r="E1001" s="17">
        <v>0.75</v>
      </c>
      <c r="F1001" t="s">
        <v>1398</v>
      </c>
      <c r="G1001">
        <v>0.5</v>
      </c>
      <c r="H1001">
        <v>0.25</v>
      </c>
      <c r="Q1001" s="1"/>
      <c r="R1001" s="1"/>
    </row>
    <row r="1002" spans="1:19" ht="15.75" customHeight="1" x14ac:dyDescent="0.25">
      <c r="A1002" s="2">
        <v>5443615</v>
      </c>
      <c r="B1002">
        <v>5443615</v>
      </c>
      <c r="C1002" t="str">
        <f>HYPERLINK("https://ois.dk/map/5443615/sfe", "Link")</f>
        <v>Link</v>
      </c>
      <c r="D1002" t="s">
        <v>1399</v>
      </c>
      <c r="E1002" s="17">
        <v>0.75</v>
      </c>
      <c r="F1002" t="s">
        <v>1400</v>
      </c>
      <c r="G1002">
        <v>0.5</v>
      </c>
      <c r="H1002">
        <v>0.25</v>
      </c>
      <c r="Q1002" s="1"/>
      <c r="R1002" s="1"/>
    </row>
    <row r="1003" spans="1:19" ht="15.75" customHeight="1" x14ac:dyDescent="0.25">
      <c r="A1003" s="2">
        <v>5443616</v>
      </c>
      <c r="B1003">
        <v>5443616</v>
      </c>
      <c r="C1003" t="str">
        <f>HYPERLINK("https://ois.dk/map/5443616/sfe", "Link")</f>
        <v>Link</v>
      </c>
      <c r="D1003" t="s">
        <v>1401</v>
      </c>
      <c r="E1003" s="17">
        <v>0.75</v>
      </c>
      <c r="F1003" t="s">
        <v>1402</v>
      </c>
      <c r="G1003">
        <v>0.5</v>
      </c>
      <c r="H1003">
        <v>0.25</v>
      </c>
      <c r="Q1003" s="1"/>
      <c r="R1003" s="1"/>
    </row>
    <row r="1004" spans="1:19" ht="15.75" customHeight="1" x14ac:dyDescent="0.25">
      <c r="A1004" s="2">
        <v>5443630</v>
      </c>
      <c r="B1004">
        <v>5443630</v>
      </c>
      <c r="C1004" t="str">
        <f>HYPERLINK("https://ois.dk/map/5443630/sfe", "Link")</f>
        <v>Link</v>
      </c>
      <c r="D1004" t="s">
        <v>144</v>
      </c>
      <c r="E1004" s="17">
        <v>0.5</v>
      </c>
      <c r="F1004" t="s">
        <v>1403</v>
      </c>
      <c r="G1004">
        <v>0.5</v>
      </c>
      <c r="Q1004" s="1"/>
      <c r="R1004" s="1"/>
    </row>
    <row r="1005" spans="1:19" ht="15.75" customHeight="1" x14ac:dyDescent="0.25">
      <c r="A1005" s="2">
        <v>5443632</v>
      </c>
      <c r="B1005">
        <v>5443632</v>
      </c>
      <c r="C1005" t="str">
        <f>HYPERLINK("https://ois.dk/map/5443632/sfe", "Link")</f>
        <v>Link</v>
      </c>
      <c r="D1005" t="s">
        <v>1404</v>
      </c>
      <c r="E1005" s="17">
        <v>1.55</v>
      </c>
      <c r="F1005" t="s">
        <v>1405</v>
      </c>
      <c r="H1005">
        <v>0.25</v>
      </c>
      <c r="I1005">
        <v>1</v>
      </c>
      <c r="J1005">
        <v>0.3</v>
      </c>
      <c r="Q1005" s="1"/>
      <c r="R1005" s="1">
        <v>1.35</v>
      </c>
      <c r="S1005">
        <v>1.1100000000000001</v>
      </c>
    </row>
    <row r="1006" spans="1:19" ht="15.75" customHeight="1" x14ac:dyDescent="0.25">
      <c r="A1006" s="2">
        <v>5443632</v>
      </c>
      <c r="B1006">
        <v>5443632</v>
      </c>
      <c r="C1006" t="str">
        <f>HYPERLINK("https://ois.dk/map/5443632/sfe", "Link")</f>
        <v>Link</v>
      </c>
      <c r="D1006" t="s">
        <v>1404</v>
      </c>
      <c r="E1006" s="17">
        <v>0.5</v>
      </c>
      <c r="F1006" t="s">
        <v>1405</v>
      </c>
      <c r="G1006">
        <v>0.5</v>
      </c>
      <c r="Q1006" s="1"/>
      <c r="R1006" s="1"/>
      <c r="S1006">
        <v>1.1100000000000001</v>
      </c>
    </row>
    <row r="1007" spans="1:19" ht="15.75" customHeight="1" x14ac:dyDescent="0.25">
      <c r="A1007" s="2">
        <v>5443632</v>
      </c>
      <c r="B1007">
        <v>5443632</v>
      </c>
      <c r="C1007" t="str">
        <f>HYPERLINK("https://ois.dk/map/5443632/sfe", "Link")</f>
        <v>Link</v>
      </c>
      <c r="D1007" t="s">
        <v>1404</v>
      </c>
      <c r="E1007" s="17">
        <v>0.5</v>
      </c>
      <c r="F1007" t="s">
        <v>1405</v>
      </c>
      <c r="G1007">
        <v>0.5</v>
      </c>
      <c r="Q1007" s="1"/>
      <c r="R1007" s="1"/>
      <c r="S1007">
        <v>1.1100000000000001</v>
      </c>
    </row>
    <row r="1008" spans="1:19" ht="15.75" customHeight="1" x14ac:dyDescent="0.25">
      <c r="A1008" s="2">
        <v>5443635</v>
      </c>
      <c r="B1008">
        <v>5443635</v>
      </c>
      <c r="C1008" t="str">
        <f>HYPERLINK("https://ois.dk/map/5443635/sfe", "Link")</f>
        <v>Link</v>
      </c>
      <c r="D1008" t="s">
        <v>1406</v>
      </c>
      <c r="E1008" s="17">
        <v>1.75</v>
      </c>
      <c r="F1008" t="s">
        <v>1407</v>
      </c>
      <c r="G1008">
        <v>0.5</v>
      </c>
      <c r="H1008">
        <v>0.25</v>
      </c>
      <c r="I1008">
        <v>1</v>
      </c>
      <c r="Q1008" s="1"/>
      <c r="R1008" s="1">
        <v>1.94</v>
      </c>
    </row>
    <row r="1009" spans="1:19" ht="15.75" customHeight="1" x14ac:dyDescent="0.25">
      <c r="A1009" s="2">
        <v>5443636</v>
      </c>
      <c r="B1009">
        <v>5443636</v>
      </c>
      <c r="C1009" t="str">
        <f>HYPERLINK("https://ois.dk/map/5443636/sfe", "Link")</f>
        <v>Link</v>
      </c>
      <c r="D1009" t="s">
        <v>1408</v>
      </c>
      <c r="E1009" s="17">
        <v>1.75</v>
      </c>
      <c r="F1009" t="s">
        <v>1409</v>
      </c>
      <c r="G1009">
        <v>0.5</v>
      </c>
      <c r="H1009">
        <v>0.25</v>
      </c>
      <c r="I1009">
        <v>1</v>
      </c>
      <c r="Q1009" s="1"/>
      <c r="R1009" s="1">
        <v>1.87</v>
      </c>
    </row>
    <row r="1010" spans="1:19" ht="15.75" customHeight="1" x14ac:dyDescent="0.25">
      <c r="A1010" s="2">
        <v>5443637</v>
      </c>
      <c r="B1010">
        <v>5443637</v>
      </c>
      <c r="C1010" t="str">
        <f>HYPERLINK("https://ois.dk/map/5443637/sfe", "Link")</f>
        <v>Link</v>
      </c>
      <c r="D1010" t="s">
        <v>1410</v>
      </c>
      <c r="E1010" s="17">
        <v>1.75</v>
      </c>
      <c r="F1010" t="s">
        <v>1411</v>
      </c>
      <c r="G1010">
        <v>0.5</v>
      </c>
      <c r="H1010">
        <v>0.25</v>
      </c>
      <c r="I1010">
        <v>1</v>
      </c>
      <c r="Q1010" s="1"/>
      <c r="R1010" s="1">
        <v>1.97</v>
      </c>
    </row>
    <row r="1011" spans="1:19" ht="15.75" customHeight="1" x14ac:dyDescent="0.25">
      <c r="A1011" s="2">
        <v>5443638</v>
      </c>
      <c r="B1011">
        <v>5443638</v>
      </c>
      <c r="C1011" t="str">
        <f>HYPERLINK("https://ois.dk/map/5443638/sfe", "Link")</f>
        <v>Link</v>
      </c>
      <c r="D1011" t="s">
        <v>1412</v>
      </c>
      <c r="E1011" s="17">
        <v>1.25</v>
      </c>
      <c r="F1011" t="s">
        <v>1413</v>
      </c>
      <c r="H1011">
        <v>0.25</v>
      </c>
      <c r="I1011">
        <v>1</v>
      </c>
      <c r="Q1011" s="1"/>
      <c r="R1011" s="1">
        <v>1.99</v>
      </c>
    </row>
    <row r="1012" spans="1:19" ht="15.75" customHeight="1" x14ac:dyDescent="0.25">
      <c r="A1012" s="2">
        <v>5443638</v>
      </c>
      <c r="B1012">
        <v>5443638</v>
      </c>
      <c r="C1012" t="str">
        <f>HYPERLINK("https://ois.dk/map/5443638/sfe", "Link")</f>
        <v>Link</v>
      </c>
      <c r="D1012" t="s">
        <v>1412</v>
      </c>
      <c r="E1012" s="17">
        <v>0.5</v>
      </c>
      <c r="F1012" t="s">
        <v>1414</v>
      </c>
      <c r="G1012">
        <v>0.5</v>
      </c>
      <c r="Q1012" s="1"/>
      <c r="R1012" s="1"/>
    </row>
    <row r="1013" spans="1:19" ht="15.75" customHeight="1" x14ac:dyDescent="0.25">
      <c r="A1013" s="2">
        <v>5443638</v>
      </c>
      <c r="B1013">
        <v>5443638</v>
      </c>
      <c r="C1013" t="str">
        <f>HYPERLINK("https://ois.dk/map/5443638/sfe", "Link")</f>
        <v>Link</v>
      </c>
      <c r="D1013" t="s">
        <v>1412</v>
      </c>
      <c r="E1013" s="17">
        <v>0.5</v>
      </c>
      <c r="F1013" t="s">
        <v>1415</v>
      </c>
      <c r="G1013">
        <v>0.5</v>
      </c>
      <c r="Q1013" s="1"/>
      <c r="R1013" s="1"/>
    </row>
    <row r="1014" spans="1:19" ht="15.75" customHeight="1" x14ac:dyDescent="0.25">
      <c r="A1014" s="2">
        <v>5443639</v>
      </c>
      <c r="B1014">
        <v>5443639</v>
      </c>
      <c r="C1014" t="str">
        <f>HYPERLINK("https://ois.dk/map/5443639/sfe", "Link")</f>
        <v>Link</v>
      </c>
      <c r="D1014" t="s">
        <v>1416</v>
      </c>
      <c r="E1014" s="17">
        <v>1.05</v>
      </c>
      <c r="F1014" t="s">
        <v>1417</v>
      </c>
      <c r="G1014">
        <v>0.5</v>
      </c>
      <c r="H1014">
        <v>0.25</v>
      </c>
      <c r="J1014">
        <v>0.3</v>
      </c>
      <c r="Q1014" s="1"/>
      <c r="R1014" s="1"/>
      <c r="S1014">
        <v>0.81</v>
      </c>
    </row>
    <row r="1015" spans="1:19" ht="15.75" customHeight="1" x14ac:dyDescent="0.25">
      <c r="A1015" s="2">
        <v>5443640</v>
      </c>
      <c r="B1015">
        <v>5443640</v>
      </c>
      <c r="C1015" t="str">
        <f>HYPERLINK("https://ois.dk/map/5443640/sfe", "Link")</f>
        <v>Link</v>
      </c>
      <c r="D1015" t="s">
        <v>1418</v>
      </c>
      <c r="E1015" s="17">
        <v>1.75</v>
      </c>
      <c r="F1015" t="s">
        <v>1419</v>
      </c>
      <c r="G1015">
        <v>0.5</v>
      </c>
      <c r="H1015">
        <v>0.25</v>
      </c>
      <c r="I1015">
        <v>1</v>
      </c>
      <c r="Q1015" s="1"/>
      <c r="R1015" s="1">
        <v>2.02</v>
      </c>
    </row>
    <row r="1016" spans="1:19" ht="15.75" customHeight="1" x14ac:dyDescent="0.25">
      <c r="A1016" s="2">
        <v>5443641</v>
      </c>
      <c r="B1016">
        <v>5443641</v>
      </c>
      <c r="C1016" t="str">
        <f>HYPERLINK("https://ois.dk/map/5443641/sfe", "Link")</f>
        <v>Link</v>
      </c>
      <c r="D1016" t="s">
        <v>1420</v>
      </c>
      <c r="E1016" s="17">
        <v>2.0499999999999998</v>
      </c>
      <c r="F1016" t="s">
        <v>1421</v>
      </c>
      <c r="G1016">
        <v>0.5</v>
      </c>
      <c r="H1016">
        <v>0.25</v>
      </c>
      <c r="I1016">
        <v>1</v>
      </c>
      <c r="J1016">
        <v>0.3</v>
      </c>
      <c r="Q1016" s="1"/>
      <c r="R1016" s="1">
        <v>1.77</v>
      </c>
    </row>
    <row r="1017" spans="1:19" ht="15.75" customHeight="1" x14ac:dyDescent="0.25">
      <c r="A1017" s="2">
        <v>5443642</v>
      </c>
      <c r="B1017">
        <v>5443642</v>
      </c>
      <c r="C1017" t="str">
        <f>HYPERLINK("https://ois.dk/map/5443642/sfe", "Link")</f>
        <v>Link</v>
      </c>
      <c r="D1017" t="s">
        <v>1422</v>
      </c>
      <c r="E1017" s="17">
        <v>1.75</v>
      </c>
      <c r="F1017" t="s">
        <v>1423</v>
      </c>
      <c r="G1017">
        <v>0.5</v>
      </c>
      <c r="H1017">
        <v>0.25</v>
      </c>
      <c r="I1017">
        <v>1</v>
      </c>
      <c r="Q1017" s="1"/>
      <c r="R1017" s="1">
        <v>1.37</v>
      </c>
    </row>
    <row r="1018" spans="1:19" ht="15.75" customHeight="1" x14ac:dyDescent="0.25">
      <c r="A1018" s="2">
        <v>5443643</v>
      </c>
      <c r="B1018">
        <v>5443643</v>
      </c>
      <c r="C1018" t="str">
        <f>HYPERLINK("https://ois.dk/map/5443643/sfe", "Link")</f>
        <v>Link</v>
      </c>
      <c r="D1018" t="s">
        <v>1424</v>
      </c>
      <c r="E1018" s="17">
        <v>1.05</v>
      </c>
      <c r="F1018" t="s">
        <v>1425</v>
      </c>
      <c r="G1018">
        <v>0.5</v>
      </c>
      <c r="H1018">
        <v>0.25</v>
      </c>
      <c r="J1018">
        <v>0.3</v>
      </c>
      <c r="Q1018" s="1"/>
      <c r="R1018" s="1"/>
      <c r="S1018">
        <v>1.64</v>
      </c>
    </row>
    <row r="1019" spans="1:19" ht="15.75" customHeight="1" x14ac:dyDescent="0.25">
      <c r="A1019" s="2">
        <v>5443644</v>
      </c>
      <c r="B1019">
        <v>287225</v>
      </c>
      <c r="C1019" t="str">
        <f>HYPERLINK("https://ois.dk/map/287225/sfe", "Link")</f>
        <v>Link</v>
      </c>
      <c r="D1019" t="s">
        <v>1426</v>
      </c>
      <c r="E1019" s="17">
        <v>0.5</v>
      </c>
      <c r="F1019" t="s">
        <v>1427</v>
      </c>
      <c r="G1019">
        <v>0.5</v>
      </c>
      <c r="Q1019" s="1"/>
      <c r="R1019" s="1"/>
    </row>
    <row r="1020" spans="1:19" ht="15.75" customHeight="1" x14ac:dyDescent="0.25">
      <c r="A1020" s="2">
        <v>5443644</v>
      </c>
      <c r="B1020">
        <v>287226</v>
      </c>
      <c r="C1020" t="str">
        <f>HYPERLINK("https://ois.dk/map/287226/sfe", "Link")</f>
        <v>Link</v>
      </c>
      <c r="D1020" t="s">
        <v>1426</v>
      </c>
      <c r="E1020" s="17">
        <v>0.5</v>
      </c>
      <c r="F1020" t="s">
        <v>1428</v>
      </c>
      <c r="G1020">
        <v>0.5</v>
      </c>
      <c r="Q1020" s="1"/>
      <c r="R1020" s="1"/>
    </row>
    <row r="1021" spans="1:19" ht="15.75" customHeight="1" x14ac:dyDescent="0.25">
      <c r="A1021" s="2">
        <v>5443644</v>
      </c>
      <c r="B1021">
        <v>287227</v>
      </c>
      <c r="C1021" t="str">
        <f>HYPERLINK("https://ois.dk/map/287227/sfe", "Link")</f>
        <v>Link</v>
      </c>
      <c r="D1021" t="s">
        <v>1426</v>
      </c>
      <c r="E1021" s="17">
        <v>0.5</v>
      </c>
      <c r="F1021" t="s">
        <v>1429</v>
      </c>
      <c r="G1021">
        <v>0.5</v>
      </c>
      <c r="Q1021" s="1"/>
      <c r="R1021" s="1"/>
    </row>
    <row r="1022" spans="1:19" ht="15.75" customHeight="1" x14ac:dyDescent="0.25">
      <c r="A1022" s="2">
        <v>5443644</v>
      </c>
      <c r="B1022">
        <v>287228</v>
      </c>
      <c r="C1022" t="str">
        <f>HYPERLINK("https://ois.dk/map/287228/sfe", "Link")</f>
        <v>Link</v>
      </c>
      <c r="D1022" t="s">
        <v>1426</v>
      </c>
      <c r="E1022" s="17">
        <v>0.5</v>
      </c>
      <c r="F1022" t="s">
        <v>1430</v>
      </c>
      <c r="G1022">
        <v>0.5</v>
      </c>
      <c r="Q1022" s="1"/>
      <c r="R1022" s="1"/>
    </row>
    <row r="1023" spans="1:19" ht="15.75" customHeight="1" x14ac:dyDescent="0.25">
      <c r="A1023" s="2">
        <v>5443644</v>
      </c>
      <c r="B1023">
        <v>287229</v>
      </c>
      <c r="C1023" t="str">
        <f>HYPERLINK("https://ois.dk/map/287229/sfe", "Link")</f>
        <v>Link</v>
      </c>
      <c r="D1023" t="s">
        <v>1426</v>
      </c>
      <c r="E1023" s="17">
        <v>0.5</v>
      </c>
      <c r="F1023" t="s">
        <v>1431</v>
      </c>
      <c r="G1023">
        <v>0.5</v>
      </c>
      <c r="Q1023" s="1"/>
      <c r="R1023" s="1"/>
    </row>
    <row r="1024" spans="1:19" ht="15.75" customHeight="1" x14ac:dyDescent="0.25">
      <c r="A1024" s="2">
        <v>5443644</v>
      </c>
      <c r="B1024">
        <v>287230</v>
      </c>
      <c r="C1024" t="str">
        <f>HYPERLINK("https://ois.dk/map/287230/sfe", "Link")</f>
        <v>Link</v>
      </c>
      <c r="D1024" t="s">
        <v>1426</v>
      </c>
      <c r="E1024" s="17">
        <v>0.5</v>
      </c>
      <c r="F1024" t="s">
        <v>1432</v>
      </c>
      <c r="G1024">
        <v>0.5</v>
      </c>
      <c r="Q1024" s="1"/>
      <c r="R1024" s="1"/>
    </row>
    <row r="1025" spans="1:18" ht="15.75" customHeight="1" x14ac:dyDescent="0.25">
      <c r="A1025" s="2">
        <v>5443644</v>
      </c>
      <c r="B1025">
        <v>287231</v>
      </c>
      <c r="C1025" t="str">
        <f>HYPERLINK("https://ois.dk/map/287231/sfe", "Link")</f>
        <v>Link</v>
      </c>
      <c r="D1025" t="s">
        <v>1426</v>
      </c>
      <c r="E1025" s="17">
        <v>0.5</v>
      </c>
      <c r="F1025" t="s">
        <v>1433</v>
      </c>
      <c r="G1025">
        <v>0.5</v>
      </c>
      <c r="Q1025" s="1"/>
      <c r="R1025" s="1"/>
    </row>
    <row r="1026" spans="1:18" ht="15.75" customHeight="1" x14ac:dyDescent="0.25">
      <c r="A1026" s="2">
        <v>5443644</v>
      </c>
      <c r="B1026">
        <v>287232</v>
      </c>
      <c r="C1026" t="str">
        <f>HYPERLINK("https://ois.dk/map/287232/sfe", "Link")</f>
        <v>Link</v>
      </c>
      <c r="D1026" t="s">
        <v>1426</v>
      </c>
      <c r="E1026" s="17">
        <v>0.5</v>
      </c>
      <c r="F1026" t="s">
        <v>1434</v>
      </c>
      <c r="G1026">
        <v>0.5</v>
      </c>
      <c r="Q1026" s="1"/>
      <c r="R1026" s="1"/>
    </row>
    <row r="1027" spans="1:18" ht="15.75" customHeight="1" x14ac:dyDescent="0.25">
      <c r="A1027" s="2">
        <v>5443644</v>
      </c>
      <c r="B1027">
        <v>287233</v>
      </c>
      <c r="C1027" t="str">
        <f>HYPERLINK("https://ois.dk/map/287233/sfe", "Link")</f>
        <v>Link</v>
      </c>
      <c r="D1027" t="s">
        <v>1426</v>
      </c>
      <c r="E1027" s="17">
        <v>0.5</v>
      </c>
      <c r="F1027" t="s">
        <v>1435</v>
      </c>
      <c r="G1027">
        <v>0.5</v>
      </c>
      <c r="Q1027" s="1"/>
      <c r="R1027" s="1"/>
    </row>
    <row r="1028" spans="1:18" ht="15.75" customHeight="1" x14ac:dyDescent="0.25">
      <c r="A1028" s="2">
        <v>5443644</v>
      </c>
      <c r="B1028">
        <v>287234</v>
      </c>
      <c r="C1028" t="str">
        <f>HYPERLINK("https://ois.dk/map/287234/sfe", "Link")</f>
        <v>Link</v>
      </c>
      <c r="D1028" t="s">
        <v>1426</v>
      </c>
      <c r="E1028" s="17">
        <v>0.5</v>
      </c>
      <c r="F1028" t="s">
        <v>1436</v>
      </c>
      <c r="G1028">
        <v>0.5</v>
      </c>
      <c r="Q1028" s="1"/>
      <c r="R1028" s="1"/>
    </row>
    <row r="1029" spans="1:18" ht="15.75" customHeight="1" x14ac:dyDescent="0.25">
      <c r="A1029" s="2">
        <v>5443644</v>
      </c>
      <c r="B1029">
        <v>287235</v>
      </c>
      <c r="C1029" t="str">
        <f>HYPERLINK("https://ois.dk/map/287235/sfe", "Link")</f>
        <v>Link</v>
      </c>
      <c r="D1029" t="s">
        <v>1426</v>
      </c>
      <c r="E1029" s="17">
        <v>0.5</v>
      </c>
      <c r="F1029" t="s">
        <v>1437</v>
      </c>
      <c r="G1029">
        <v>0.5</v>
      </c>
      <c r="Q1029" s="1"/>
      <c r="R1029" s="1"/>
    </row>
    <row r="1030" spans="1:18" ht="15.75" customHeight="1" x14ac:dyDescent="0.25">
      <c r="A1030" s="2">
        <v>5443644</v>
      </c>
      <c r="B1030">
        <v>287236</v>
      </c>
      <c r="C1030" t="str">
        <f>HYPERLINK("https://ois.dk/map/287236/sfe", "Link")</f>
        <v>Link</v>
      </c>
      <c r="D1030" t="s">
        <v>1426</v>
      </c>
      <c r="E1030" s="17">
        <v>0.5</v>
      </c>
      <c r="F1030" t="s">
        <v>1438</v>
      </c>
      <c r="G1030">
        <v>0.5</v>
      </c>
      <c r="Q1030" s="1"/>
      <c r="R1030" s="1"/>
    </row>
    <row r="1031" spans="1:18" ht="15.75" customHeight="1" x14ac:dyDescent="0.25">
      <c r="A1031" s="2">
        <v>5443644</v>
      </c>
      <c r="B1031">
        <v>287237</v>
      </c>
      <c r="C1031" t="str">
        <f>HYPERLINK("https://ois.dk/map/287237/sfe", "Link")</f>
        <v>Link</v>
      </c>
      <c r="D1031" t="s">
        <v>1426</v>
      </c>
      <c r="E1031" s="17">
        <v>0.5</v>
      </c>
      <c r="F1031" t="s">
        <v>1439</v>
      </c>
      <c r="G1031">
        <v>0.5</v>
      </c>
      <c r="Q1031" s="1"/>
      <c r="R1031" s="1"/>
    </row>
    <row r="1032" spans="1:18" ht="15.75" customHeight="1" x14ac:dyDescent="0.25">
      <c r="A1032" s="2">
        <v>5443644</v>
      </c>
      <c r="B1032">
        <v>287238</v>
      </c>
      <c r="C1032" t="str">
        <f>HYPERLINK("https://ois.dk/map/287238/sfe", "Link")</f>
        <v>Link</v>
      </c>
      <c r="D1032" t="s">
        <v>1426</v>
      </c>
      <c r="E1032" s="17">
        <v>0.5</v>
      </c>
      <c r="F1032" t="s">
        <v>1440</v>
      </c>
      <c r="G1032">
        <v>0.5</v>
      </c>
      <c r="Q1032" s="1"/>
      <c r="R1032" s="1"/>
    </row>
    <row r="1033" spans="1:18" ht="15.75" customHeight="1" x14ac:dyDescent="0.25">
      <c r="A1033" s="2">
        <v>5443644</v>
      </c>
      <c r="B1033">
        <v>287239</v>
      </c>
      <c r="C1033" t="str">
        <f>HYPERLINK("https://ois.dk/map/287239/sfe", "Link")</f>
        <v>Link</v>
      </c>
      <c r="D1033" t="s">
        <v>1426</v>
      </c>
      <c r="E1033" s="17">
        <v>0.5</v>
      </c>
      <c r="F1033" t="s">
        <v>1441</v>
      </c>
      <c r="G1033">
        <v>0.5</v>
      </c>
      <c r="Q1033" s="1"/>
      <c r="R1033" s="1"/>
    </row>
    <row r="1034" spans="1:18" ht="15.75" customHeight="1" x14ac:dyDescent="0.25">
      <c r="A1034" s="2">
        <v>5443644</v>
      </c>
      <c r="B1034">
        <v>287240</v>
      </c>
      <c r="C1034" t="str">
        <f>HYPERLINK("https://ois.dk/map/287240/sfe", "Link")</f>
        <v>Link</v>
      </c>
      <c r="D1034" t="s">
        <v>1426</v>
      </c>
      <c r="E1034" s="17">
        <v>0.5</v>
      </c>
      <c r="F1034" t="s">
        <v>1442</v>
      </c>
      <c r="G1034">
        <v>0.5</v>
      </c>
      <c r="Q1034" s="1"/>
      <c r="R1034" s="1"/>
    </row>
    <row r="1035" spans="1:18" ht="15.75" customHeight="1" x14ac:dyDescent="0.25">
      <c r="A1035" s="2">
        <v>5443644</v>
      </c>
      <c r="B1035">
        <v>287241</v>
      </c>
      <c r="C1035" t="str">
        <f>HYPERLINK("https://ois.dk/map/287241/sfe", "Link")</f>
        <v>Link</v>
      </c>
      <c r="D1035" t="s">
        <v>1426</v>
      </c>
      <c r="E1035" s="17">
        <v>0.5</v>
      </c>
      <c r="F1035" t="s">
        <v>1443</v>
      </c>
      <c r="G1035">
        <v>0.5</v>
      </c>
      <c r="Q1035" s="1"/>
      <c r="R1035" s="1"/>
    </row>
    <row r="1036" spans="1:18" ht="15.75" customHeight="1" x14ac:dyDescent="0.25">
      <c r="A1036" s="2">
        <v>5443644</v>
      </c>
      <c r="B1036">
        <v>287242</v>
      </c>
      <c r="C1036" t="str">
        <f>HYPERLINK("https://ois.dk/map/287242/sfe", "Link")</f>
        <v>Link</v>
      </c>
      <c r="D1036" t="s">
        <v>1426</v>
      </c>
      <c r="E1036" s="17">
        <v>0.5</v>
      </c>
      <c r="F1036" t="s">
        <v>1444</v>
      </c>
      <c r="G1036">
        <v>0.5</v>
      </c>
      <c r="Q1036" s="1"/>
      <c r="R1036" s="1"/>
    </row>
    <row r="1037" spans="1:18" ht="15.75" customHeight="1" x14ac:dyDescent="0.25">
      <c r="A1037" s="2">
        <v>5443644</v>
      </c>
      <c r="B1037">
        <v>287243</v>
      </c>
      <c r="C1037" t="str">
        <f>HYPERLINK("https://ois.dk/map/287243/sfe", "Link")</f>
        <v>Link</v>
      </c>
      <c r="D1037" t="s">
        <v>1426</v>
      </c>
      <c r="E1037" s="17">
        <v>0.5</v>
      </c>
      <c r="F1037" t="s">
        <v>1445</v>
      </c>
      <c r="G1037">
        <v>0.5</v>
      </c>
      <c r="Q1037" s="1"/>
      <c r="R1037" s="1"/>
    </row>
    <row r="1038" spans="1:18" ht="15.75" customHeight="1" x14ac:dyDescent="0.25">
      <c r="A1038" s="2">
        <v>5443644</v>
      </c>
      <c r="B1038">
        <v>287244</v>
      </c>
      <c r="C1038" t="str">
        <f>HYPERLINK("https://ois.dk/map/287244/sfe", "Link")</f>
        <v>Link</v>
      </c>
      <c r="D1038" t="s">
        <v>1426</v>
      </c>
      <c r="E1038" s="17">
        <v>0.5</v>
      </c>
      <c r="F1038" t="s">
        <v>1446</v>
      </c>
      <c r="G1038">
        <v>0.5</v>
      </c>
      <c r="Q1038" s="1"/>
      <c r="R1038" s="1"/>
    </row>
    <row r="1039" spans="1:18" ht="15.75" customHeight="1" x14ac:dyDescent="0.25">
      <c r="A1039" s="2">
        <v>5443644</v>
      </c>
      <c r="B1039">
        <v>287245</v>
      </c>
      <c r="C1039" t="str">
        <f>HYPERLINK("https://ois.dk/map/287245/sfe", "Link")</f>
        <v>Link</v>
      </c>
      <c r="D1039" t="s">
        <v>1426</v>
      </c>
      <c r="E1039" s="17">
        <v>0.5</v>
      </c>
      <c r="F1039" t="s">
        <v>1447</v>
      </c>
      <c r="G1039">
        <v>0.5</v>
      </c>
      <c r="Q1039" s="1"/>
      <c r="R1039" s="1"/>
    </row>
    <row r="1040" spans="1:18" ht="15.75" customHeight="1" x14ac:dyDescent="0.25">
      <c r="A1040" s="2">
        <v>5443644</v>
      </c>
      <c r="B1040">
        <v>287246</v>
      </c>
      <c r="C1040" t="str">
        <f>HYPERLINK("https://ois.dk/map/287246/sfe", "Link")</f>
        <v>Link</v>
      </c>
      <c r="D1040" t="s">
        <v>1426</v>
      </c>
      <c r="E1040" s="17">
        <v>0.5</v>
      </c>
      <c r="F1040" t="s">
        <v>1448</v>
      </c>
      <c r="G1040">
        <v>0.5</v>
      </c>
      <c r="Q1040" s="1"/>
      <c r="R1040" s="1"/>
    </row>
    <row r="1041" spans="1:18" ht="15.75" customHeight="1" x14ac:dyDescent="0.25">
      <c r="A1041" s="2">
        <v>5443644</v>
      </c>
      <c r="B1041">
        <v>287247</v>
      </c>
      <c r="C1041" t="str">
        <f>HYPERLINK("https://ois.dk/map/287247/sfe", "Link")</f>
        <v>Link</v>
      </c>
      <c r="D1041" t="s">
        <v>1426</v>
      </c>
      <c r="E1041" s="17">
        <v>0.5</v>
      </c>
      <c r="F1041" t="s">
        <v>1449</v>
      </c>
      <c r="G1041">
        <v>0.5</v>
      </c>
      <c r="Q1041" s="1"/>
      <c r="R1041" s="1"/>
    </row>
    <row r="1042" spans="1:18" ht="15.75" customHeight="1" x14ac:dyDescent="0.25">
      <c r="A1042" s="2">
        <v>5443644</v>
      </c>
      <c r="B1042">
        <v>287248</v>
      </c>
      <c r="C1042" t="str">
        <f>HYPERLINK("https://ois.dk/map/287248/sfe", "Link")</f>
        <v>Link</v>
      </c>
      <c r="D1042" t="s">
        <v>1426</v>
      </c>
      <c r="E1042" s="17">
        <v>0.5</v>
      </c>
      <c r="F1042" t="s">
        <v>1450</v>
      </c>
      <c r="G1042">
        <v>0.5</v>
      </c>
      <c r="Q1042" s="1"/>
      <c r="R1042" s="1"/>
    </row>
    <row r="1043" spans="1:18" ht="15.75" customHeight="1" x14ac:dyDescent="0.25">
      <c r="A1043" s="2">
        <v>5443644</v>
      </c>
      <c r="B1043">
        <v>287249</v>
      </c>
      <c r="C1043" t="str">
        <f>HYPERLINK("https://ois.dk/map/287249/sfe", "Link")</f>
        <v>Link</v>
      </c>
      <c r="D1043" t="s">
        <v>1426</v>
      </c>
      <c r="E1043" s="17">
        <v>0.5</v>
      </c>
      <c r="F1043" t="s">
        <v>1451</v>
      </c>
      <c r="G1043">
        <v>0.5</v>
      </c>
      <c r="Q1043" s="1"/>
      <c r="R1043" s="1"/>
    </row>
    <row r="1044" spans="1:18" ht="15.75" customHeight="1" x14ac:dyDescent="0.25">
      <c r="A1044" s="2">
        <v>5443644</v>
      </c>
      <c r="B1044">
        <v>287250</v>
      </c>
      <c r="C1044" t="str">
        <f>HYPERLINK("https://ois.dk/map/287250/sfe", "Link")</f>
        <v>Link</v>
      </c>
      <c r="D1044" t="s">
        <v>1426</v>
      </c>
      <c r="E1044" s="17">
        <v>0.5</v>
      </c>
      <c r="F1044" t="s">
        <v>1452</v>
      </c>
      <c r="G1044">
        <v>0.5</v>
      </c>
      <c r="Q1044" s="1"/>
      <c r="R1044" s="1"/>
    </row>
    <row r="1045" spans="1:18" ht="15.75" customHeight="1" x14ac:dyDescent="0.25">
      <c r="A1045" s="2">
        <v>5443644</v>
      </c>
      <c r="B1045">
        <v>287251</v>
      </c>
      <c r="C1045" t="str">
        <f>HYPERLINK("https://ois.dk/map/287251/sfe", "Link")</f>
        <v>Link</v>
      </c>
      <c r="D1045" t="s">
        <v>1426</v>
      </c>
      <c r="E1045" s="17">
        <v>0.5</v>
      </c>
      <c r="F1045" t="s">
        <v>1453</v>
      </c>
      <c r="G1045">
        <v>0.5</v>
      </c>
      <c r="Q1045" s="1"/>
      <c r="R1045" s="1"/>
    </row>
    <row r="1046" spans="1:18" ht="15.75" customHeight="1" x14ac:dyDescent="0.25">
      <c r="A1046" s="2">
        <v>5443644</v>
      </c>
      <c r="B1046">
        <v>287252</v>
      </c>
      <c r="C1046" t="str">
        <f>HYPERLINK("https://ois.dk/map/287252/sfe", "Link")</f>
        <v>Link</v>
      </c>
      <c r="D1046" t="s">
        <v>1426</v>
      </c>
      <c r="E1046" s="17">
        <v>0.5</v>
      </c>
      <c r="F1046" t="s">
        <v>1454</v>
      </c>
      <c r="G1046">
        <v>0.5</v>
      </c>
      <c r="Q1046" s="1"/>
      <c r="R1046" s="1"/>
    </row>
    <row r="1047" spans="1:18" ht="15.75" customHeight="1" x14ac:dyDescent="0.25">
      <c r="A1047" s="2">
        <v>5443644</v>
      </c>
      <c r="B1047">
        <v>287253</v>
      </c>
      <c r="C1047" t="str">
        <f>HYPERLINK("https://ois.dk/map/287253/sfe", "Link")</f>
        <v>Link</v>
      </c>
      <c r="D1047" t="s">
        <v>1426</v>
      </c>
      <c r="E1047" s="17">
        <v>0.5</v>
      </c>
      <c r="F1047" t="s">
        <v>1455</v>
      </c>
      <c r="G1047">
        <v>0.5</v>
      </c>
      <c r="Q1047" s="1"/>
      <c r="R1047" s="1"/>
    </row>
    <row r="1048" spans="1:18" ht="15.75" customHeight="1" x14ac:dyDescent="0.25">
      <c r="A1048" s="2">
        <v>5443644</v>
      </c>
      <c r="B1048">
        <v>287254</v>
      </c>
      <c r="C1048" t="str">
        <f>HYPERLINK("https://ois.dk/map/287254/sfe", "Link")</f>
        <v>Link</v>
      </c>
      <c r="D1048" t="s">
        <v>1426</v>
      </c>
      <c r="E1048" s="17">
        <v>0.5</v>
      </c>
      <c r="F1048" t="s">
        <v>1456</v>
      </c>
      <c r="G1048">
        <v>0.5</v>
      </c>
      <c r="Q1048" s="1"/>
      <c r="R1048" s="1"/>
    </row>
    <row r="1049" spans="1:18" ht="15.75" customHeight="1" x14ac:dyDescent="0.25">
      <c r="A1049" s="2">
        <v>5443644</v>
      </c>
      <c r="B1049">
        <v>287255</v>
      </c>
      <c r="C1049" t="str">
        <f>HYPERLINK("https://ois.dk/map/287255/sfe", "Link")</f>
        <v>Link</v>
      </c>
      <c r="D1049" t="s">
        <v>1426</v>
      </c>
      <c r="E1049" s="17">
        <v>0.5</v>
      </c>
      <c r="F1049" t="s">
        <v>1457</v>
      </c>
      <c r="G1049">
        <v>0.5</v>
      </c>
      <c r="Q1049" s="1"/>
      <c r="R1049" s="1"/>
    </row>
    <row r="1050" spans="1:18" ht="15.75" customHeight="1" x14ac:dyDescent="0.25">
      <c r="A1050" s="2">
        <v>5443644</v>
      </c>
      <c r="B1050">
        <v>287256</v>
      </c>
      <c r="C1050" t="str">
        <f>HYPERLINK("https://ois.dk/map/287256/sfe", "Link")</f>
        <v>Link</v>
      </c>
      <c r="D1050" t="s">
        <v>1426</v>
      </c>
      <c r="E1050" s="17">
        <v>0.5</v>
      </c>
      <c r="F1050" t="s">
        <v>1458</v>
      </c>
      <c r="G1050">
        <v>0.5</v>
      </c>
      <c r="Q1050" s="1"/>
      <c r="R1050" s="1"/>
    </row>
    <row r="1051" spans="1:18" ht="15.75" customHeight="1" x14ac:dyDescent="0.25">
      <c r="A1051" s="2">
        <v>5443644</v>
      </c>
      <c r="B1051">
        <v>287257</v>
      </c>
      <c r="C1051" t="str">
        <f>HYPERLINK("https://ois.dk/map/287257/sfe", "Link")</f>
        <v>Link</v>
      </c>
      <c r="D1051" t="s">
        <v>1426</v>
      </c>
      <c r="E1051" s="17">
        <v>0.5</v>
      </c>
      <c r="F1051" t="s">
        <v>1459</v>
      </c>
      <c r="G1051">
        <v>0.5</v>
      </c>
      <c r="Q1051" s="1"/>
      <c r="R1051" s="1"/>
    </row>
    <row r="1052" spans="1:18" ht="15.75" customHeight="1" x14ac:dyDescent="0.25">
      <c r="A1052" s="2">
        <v>5443644</v>
      </c>
      <c r="B1052">
        <v>287258</v>
      </c>
      <c r="C1052" t="str">
        <f>HYPERLINK("https://ois.dk/map/287258/sfe", "Link")</f>
        <v>Link</v>
      </c>
      <c r="D1052" t="s">
        <v>1426</v>
      </c>
      <c r="E1052" s="17">
        <v>0.5</v>
      </c>
      <c r="F1052" t="s">
        <v>1460</v>
      </c>
      <c r="G1052">
        <v>0.5</v>
      </c>
      <c r="Q1052" s="1"/>
      <c r="R1052" s="1"/>
    </row>
    <row r="1053" spans="1:18" ht="15.75" customHeight="1" x14ac:dyDescent="0.25">
      <c r="A1053" s="2">
        <v>5443644</v>
      </c>
      <c r="B1053">
        <v>287259</v>
      </c>
      <c r="C1053" t="str">
        <f>HYPERLINK("https://ois.dk/map/287259/sfe", "Link")</f>
        <v>Link</v>
      </c>
      <c r="D1053" t="s">
        <v>1426</v>
      </c>
      <c r="E1053" s="17">
        <v>0.5</v>
      </c>
      <c r="F1053" t="s">
        <v>1461</v>
      </c>
      <c r="G1053">
        <v>0.5</v>
      </c>
      <c r="Q1053" s="1"/>
      <c r="R1053" s="1"/>
    </row>
    <row r="1054" spans="1:18" ht="15.75" customHeight="1" x14ac:dyDescent="0.25">
      <c r="A1054" s="2">
        <v>5443644</v>
      </c>
      <c r="B1054">
        <v>287260</v>
      </c>
      <c r="C1054" t="str">
        <f>HYPERLINK("https://ois.dk/map/287260/sfe", "Link")</f>
        <v>Link</v>
      </c>
      <c r="D1054" t="s">
        <v>1426</v>
      </c>
      <c r="E1054" s="17">
        <v>0.5</v>
      </c>
      <c r="F1054" t="s">
        <v>1462</v>
      </c>
      <c r="G1054">
        <v>0.5</v>
      </c>
      <c r="Q1054" s="1"/>
      <c r="R1054" s="1"/>
    </row>
    <row r="1055" spans="1:18" ht="15.75" customHeight="1" x14ac:dyDescent="0.25">
      <c r="A1055" s="2">
        <v>5443644</v>
      </c>
      <c r="B1055">
        <v>287261</v>
      </c>
      <c r="C1055" t="str">
        <f>HYPERLINK("https://ois.dk/map/287261/sfe", "Link")</f>
        <v>Link</v>
      </c>
      <c r="D1055" t="s">
        <v>1426</v>
      </c>
      <c r="E1055" s="17">
        <v>0.5</v>
      </c>
      <c r="F1055" t="s">
        <v>1463</v>
      </c>
      <c r="G1055">
        <v>0.5</v>
      </c>
      <c r="Q1055" s="1"/>
      <c r="R1055" s="1"/>
    </row>
    <row r="1056" spans="1:18" ht="15.75" customHeight="1" x14ac:dyDescent="0.25">
      <c r="A1056" s="2">
        <v>5443644</v>
      </c>
      <c r="B1056">
        <v>287262</v>
      </c>
      <c r="C1056" t="str">
        <f>HYPERLINK("https://ois.dk/map/287262/sfe", "Link")</f>
        <v>Link</v>
      </c>
      <c r="D1056" t="s">
        <v>1426</v>
      </c>
      <c r="E1056" s="17">
        <v>0.5</v>
      </c>
      <c r="F1056" t="s">
        <v>1464</v>
      </c>
      <c r="G1056">
        <v>0.5</v>
      </c>
      <c r="Q1056" s="1"/>
      <c r="R1056" s="1"/>
    </row>
    <row r="1057" spans="1:18" ht="15.75" customHeight="1" x14ac:dyDescent="0.25">
      <c r="A1057" s="2">
        <v>5443644</v>
      </c>
      <c r="B1057">
        <v>287263</v>
      </c>
      <c r="C1057" t="str">
        <f>HYPERLINK("https://ois.dk/map/287263/sfe", "Link")</f>
        <v>Link</v>
      </c>
      <c r="D1057" t="s">
        <v>1426</v>
      </c>
      <c r="E1057" s="17">
        <v>0.5</v>
      </c>
      <c r="F1057" t="s">
        <v>1465</v>
      </c>
      <c r="G1057">
        <v>0.5</v>
      </c>
      <c r="Q1057" s="1"/>
      <c r="R1057" s="1"/>
    </row>
    <row r="1058" spans="1:18" ht="15.75" customHeight="1" x14ac:dyDescent="0.25">
      <c r="A1058" s="2">
        <v>5443644</v>
      </c>
      <c r="B1058">
        <v>287264</v>
      </c>
      <c r="C1058" t="str">
        <f>HYPERLINK("https://ois.dk/map/287264/sfe", "Link")</f>
        <v>Link</v>
      </c>
      <c r="D1058" t="s">
        <v>1426</v>
      </c>
      <c r="E1058" s="17">
        <v>0.5</v>
      </c>
      <c r="F1058" t="s">
        <v>1466</v>
      </c>
      <c r="G1058">
        <v>0.5</v>
      </c>
      <c r="Q1058" s="1"/>
      <c r="R1058" s="1"/>
    </row>
    <row r="1059" spans="1:18" ht="15.75" customHeight="1" x14ac:dyDescent="0.25">
      <c r="A1059" s="2">
        <v>5443644</v>
      </c>
      <c r="B1059">
        <v>287265</v>
      </c>
      <c r="C1059" t="str">
        <f>HYPERLINK("https://ois.dk/map/287265/sfe", "Link")</f>
        <v>Link</v>
      </c>
      <c r="D1059" t="s">
        <v>1426</v>
      </c>
      <c r="E1059" s="17">
        <v>0.5</v>
      </c>
      <c r="F1059" t="s">
        <v>1467</v>
      </c>
      <c r="G1059">
        <v>0.5</v>
      </c>
      <c r="Q1059" s="1"/>
      <c r="R1059" s="1"/>
    </row>
    <row r="1060" spans="1:18" ht="15.75" customHeight="1" x14ac:dyDescent="0.25">
      <c r="A1060" s="2">
        <v>5443644</v>
      </c>
      <c r="B1060">
        <v>287267</v>
      </c>
      <c r="C1060" t="str">
        <f>HYPERLINK("https://ois.dk/map/287267/sfe", "Link")</f>
        <v>Link</v>
      </c>
      <c r="D1060" t="s">
        <v>1426</v>
      </c>
      <c r="E1060" s="17">
        <v>0.5</v>
      </c>
      <c r="F1060" t="s">
        <v>1468</v>
      </c>
      <c r="G1060">
        <v>0.5</v>
      </c>
      <c r="Q1060" s="1"/>
      <c r="R1060" s="1"/>
    </row>
    <row r="1061" spans="1:18" ht="15.75" customHeight="1" x14ac:dyDescent="0.25">
      <c r="A1061" s="2">
        <v>5443644</v>
      </c>
      <c r="B1061">
        <v>287268</v>
      </c>
      <c r="C1061" t="str">
        <f>HYPERLINK("https://ois.dk/map/287268/sfe", "Link")</f>
        <v>Link</v>
      </c>
      <c r="D1061" t="s">
        <v>1426</v>
      </c>
      <c r="E1061" s="17">
        <v>0.5</v>
      </c>
      <c r="F1061" t="s">
        <v>1469</v>
      </c>
      <c r="G1061">
        <v>0.5</v>
      </c>
      <c r="Q1061" s="1"/>
      <c r="R1061" s="1"/>
    </row>
    <row r="1062" spans="1:18" ht="15.75" customHeight="1" x14ac:dyDescent="0.25">
      <c r="A1062" s="2">
        <v>5443644</v>
      </c>
      <c r="B1062">
        <v>287269</v>
      </c>
      <c r="C1062" t="str">
        <f>HYPERLINK("https://ois.dk/map/287269/sfe", "Link")</f>
        <v>Link</v>
      </c>
      <c r="D1062" t="s">
        <v>1426</v>
      </c>
      <c r="E1062" s="17">
        <v>0.5</v>
      </c>
      <c r="F1062" t="s">
        <v>1470</v>
      </c>
      <c r="G1062">
        <v>0.5</v>
      </c>
      <c r="Q1062" s="1"/>
      <c r="R1062" s="1"/>
    </row>
    <row r="1063" spans="1:18" ht="15.75" customHeight="1" x14ac:dyDescent="0.25">
      <c r="A1063" s="2">
        <v>5443644</v>
      </c>
      <c r="B1063">
        <v>287597</v>
      </c>
      <c r="C1063" t="str">
        <f>HYPERLINK("https://ois.dk/map/287597/sfe", "Link")</f>
        <v>Link</v>
      </c>
      <c r="D1063" t="s">
        <v>1426</v>
      </c>
      <c r="E1063" s="17">
        <v>0.5</v>
      </c>
      <c r="F1063" t="s">
        <v>1471</v>
      </c>
      <c r="G1063">
        <v>0.5</v>
      </c>
      <c r="Q1063" s="1"/>
      <c r="R1063" s="1"/>
    </row>
    <row r="1064" spans="1:18" ht="15.75" customHeight="1" x14ac:dyDescent="0.25">
      <c r="A1064" s="2">
        <v>5443644</v>
      </c>
      <c r="B1064">
        <v>287601</v>
      </c>
      <c r="C1064" t="str">
        <f>HYPERLINK("https://ois.dk/map/287601/sfe", "Link")</f>
        <v>Link</v>
      </c>
      <c r="D1064" t="s">
        <v>1426</v>
      </c>
      <c r="E1064" s="17">
        <v>0.5</v>
      </c>
      <c r="F1064" t="s">
        <v>1472</v>
      </c>
      <c r="G1064">
        <v>0.5</v>
      </c>
      <c r="Q1064" s="1"/>
      <c r="R1064" s="1"/>
    </row>
    <row r="1065" spans="1:18" ht="15.75" customHeight="1" x14ac:dyDescent="0.25">
      <c r="A1065" s="2">
        <v>5443644</v>
      </c>
      <c r="B1065">
        <v>287603</v>
      </c>
      <c r="C1065" t="str">
        <f>HYPERLINK("https://ois.dk/map/287603/sfe", "Link")</f>
        <v>Link</v>
      </c>
      <c r="D1065" t="s">
        <v>1426</v>
      </c>
      <c r="E1065" s="17">
        <v>0.5</v>
      </c>
      <c r="F1065" t="s">
        <v>1473</v>
      </c>
      <c r="G1065">
        <v>0.5</v>
      </c>
      <c r="Q1065" s="1"/>
      <c r="R1065" s="1"/>
    </row>
    <row r="1066" spans="1:18" ht="15.75" customHeight="1" x14ac:dyDescent="0.25">
      <c r="A1066" s="2">
        <v>5443644</v>
      </c>
      <c r="B1066">
        <v>287604</v>
      </c>
      <c r="C1066" t="str">
        <f>HYPERLINK("https://ois.dk/map/287604/sfe", "Link")</f>
        <v>Link</v>
      </c>
      <c r="D1066" t="s">
        <v>1426</v>
      </c>
      <c r="E1066" s="17">
        <v>0.5</v>
      </c>
      <c r="F1066" t="s">
        <v>1474</v>
      </c>
      <c r="G1066">
        <v>0.5</v>
      </c>
      <c r="Q1066" s="1"/>
      <c r="R1066" s="1"/>
    </row>
    <row r="1067" spans="1:18" ht="15.75" customHeight="1" x14ac:dyDescent="0.25">
      <c r="A1067" s="2">
        <v>5443644</v>
      </c>
      <c r="B1067">
        <v>287605</v>
      </c>
      <c r="C1067" t="str">
        <f>HYPERLINK("https://ois.dk/map/287605/sfe", "Link")</f>
        <v>Link</v>
      </c>
      <c r="D1067" t="s">
        <v>1426</v>
      </c>
      <c r="E1067" s="17">
        <v>0.5</v>
      </c>
      <c r="F1067" t="s">
        <v>1475</v>
      </c>
      <c r="G1067">
        <v>0.5</v>
      </c>
      <c r="Q1067" s="1"/>
      <c r="R1067" s="1"/>
    </row>
    <row r="1068" spans="1:18" ht="15.75" customHeight="1" x14ac:dyDescent="0.25">
      <c r="A1068" s="2">
        <v>5443644</v>
      </c>
      <c r="B1068">
        <v>287606</v>
      </c>
      <c r="C1068" t="str">
        <f>HYPERLINK("https://ois.dk/map/287606/sfe", "Link")</f>
        <v>Link</v>
      </c>
      <c r="D1068" t="s">
        <v>1426</v>
      </c>
      <c r="E1068" s="17">
        <v>0.5</v>
      </c>
      <c r="F1068" t="s">
        <v>1476</v>
      </c>
      <c r="G1068">
        <v>0.5</v>
      </c>
      <c r="Q1068" s="1"/>
      <c r="R1068" s="1"/>
    </row>
    <row r="1069" spans="1:18" ht="15.75" customHeight="1" x14ac:dyDescent="0.25">
      <c r="A1069" s="2">
        <v>5443644</v>
      </c>
      <c r="B1069">
        <v>287607</v>
      </c>
      <c r="C1069" t="str">
        <f>HYPERLINK("https://ois.dk/map/287607/sfe", "Link")</f>
        <v>Link</v>
      </c>
      <c r="D1069" t="s">
        <v>1426</v>
      </c>
      <c r="E1069" s="17">
        <v>0.5</v>
      </c>
      <c r="F1069" t="s">
        <v>1477</v>
      </c>
      <c r="G1069">
        <v>0.5</v>
      </c>
      <c r="Q1069" s="1"/>
      <c r="R1069" s="1"/>
    </row>
    <row r="1070" spans="1:18" ht="15.75" customHeight="1" x14ac:dyDescent="0.25">
      <c r="A1070" s="2">
        <v>5443644</v>
      </c>
      <c r="B1070">
        <v>287608</v>
      </c>
      <c r="C1070" t="str">
        <f>HYPERLINK("https://ois.dk/map/287608/sfe", "Link")</f>
        <v>Link</v>
      </c>
      <c r="D1070" t="s">
        <v>1426</v>
      </c>
      <c r="E1070" s="17">
        <v>0.5</v>
      </c>
      <c r="F1070" t="s">
        <v>1478</v>
      </c>
      <c r="G1070">
        <v>0.5</v>
      </c>
      <c r="Q1070" s="1"/>
      <c r="R1070" s="1"/>
    </row>
    <row r="1071" spans="1:18" ht="15.75" customHeight="1" x14ac:dyDescent="0.25">
      <c r="A1071" s="2">
        <v>5443644</v>
      </c>
      <c r="B1071">
        <v>287609</v>
      </c>
      <c r="C1071" t="str">
        <f>HYPERLINK("https://ois.dk/map/287609/sfe", "Link")</f>
        <v>Link</v>
      </c>
      <c r="D1071" t="s">
        <v>1426</v>
      </c>
      <c r="E1071" s="17">
        <v>0.5</v>
      </c>
      <c r="F1071" t="s">
        <v>1479</v>
      </c>
      <c r="G1071">
        <v>0.5</v>
      </c>
      <c r="Q1071" s="1"/>
      <c r="R1071" s="1"/>
    </row>
    <row r="1072" spans="1:18" ht="15.75" customHeight="1" x14ac:dyDescent="0.25">
      <c r="A1072" s="2">
        <v>5443644</v>
      </c>
      <c r="B1072">
        <v>287611</v>
      </c>
      <c r="C1072" t="str">
        <f>HYPERLINK("https://ois.dk/map/287611/sfe", "Link")</f>
        <v>Link</v>
      </c>
      <c r="D1072" t="s">
        <v>1426</v>
      </c>
      <c r="E1072" s="17">
        <v>0.5</v>
      </c>
      <c r="F1072" t="s">
        <v>1480</v>
      </c>
      <c r="G1072">
        <v>0.5</v>
      </c>
      <c r="Q1072" s="1"/>
      <c r="R1072" s="1"/>
    </row>
    <row r="1073" spans="1:19" ht="15.75" customHeight="1" x14ac:dyDescent="0.25">
      <c r="A1073" s="2">
        <v>5443644</v>
      </c>
      <c r="B1073">
        <v>287612</v>
      </c>
      <c r="C1073" t="str">
        <f>HYPERLINK("https://ois.dk/map/287612/sfe", "Link")</f>
        <v>Link</v>
      </c>
      <c r="D1073" t="s">
        <v>1426</v>
      </c>
      <c r="E1073" s="17">
        <v>0.5</v>
      </c>
      <c r="F1073" t="s">
        <v>1481</v>
      </c>
      <c r="G1073">
        <v>0.5</v>
      </c>
      <c r="Q1073" s="1"/>
      <c r="R1073" s="1"/>
    </row>
    <row r="1074" spans="1:19" ht="15.75" customHeight="1" x14ac:dyDescent="0.25">
      <c r="A1074" s="2">
        <v>5443644</v>
      </c>
      <c r="B1074">
        <v>287613</v>
      </c>
      <c r="C1074" t="str">
        <f>HYPERLINK("https://ois.dk/map/287613/sfe", "Link")</f>
        <v>Link</v>
      </c>
      <c r="D1074" t="s">
        <v>1426</v>
      </c>
      <c r="E1074" s="17">
        <v>0.5</v>
      </c>
      <c r="F1074" t="s">
        <v>1482</v>
      </c>
      <c r="G1074">
        <v>0.5</v>
      </c>
      <c r="Q1074" s="1"/>
      <c r="R1074" s="1"/>
    </row>
    <row r="1075" spans="1:19" ht="15.75" customHeight="1" x14ac:dyDescent="0.25">
      <c r="A1075" s="2">
        <v>5443644</v>
      </c>
      <c r="B1075">
        <v>5443644</v>
      </c>
      <c r="C1075" t="str">
        <f>HYPERLINK("https://ois.dk/map/5443644/sfe", "Link")</f>
        <v>Link</v>
      </c>
      <c r="D1075" t="s">
        <v>1426</v>
      </c>
      <c r="E1075" s="17">
        <v>0.25</v>
      </c>
      <c r="F1075" t="s">
        <v>1483</v>
      </c>
      <c r="H1075">
        <v>0.25</v>
      </c>
      <c r="Q1075" s="1"/>
      <c r="R1075" s="1"/>
    </row>
    <row r="1076" spans="1:19" ht="15.75" customHeight="1" x14ac:dyDescent="0.25">
      <c r="A1076" s="2">
        <v>5443644</v>
      </c>
      <c r="B1076">
        <v>5443644</v>
      </c>
      <c r="C1076" t="str">
        <f>HYPERLINK("https://ois.dk/map/5443644/sfe", "Link")</f>
        <v>Link</v>
      </c>
      <c r="D1076" t="s">
        <v>1426</v>
      </c>
      <c r="E1076" s="17">
        <v>0.5</v>
      </c>
      <c r="F1076" t="s">
        <v>1484</v>
      </c>
      <c r="G1076">
        <v>0.5</v>
      </c>
      <c r="Q1076" s="1"/>
      <c r="R1076" s="1"/>
    </row>
    <row r="1077" spans="1:19" ht="15.75" customHeight="1" x14ac:dyDescent="0.25">
      <c r="A1077" s="2">
        <v>5443644</v>
      </c>
      <c r="B1077">
        <v>100344105</v>
      </c>
      <c r="C1077" t="str">
        <f>HYPERLINK("https://ois.dk/map/100344105/sfe", "Link")</f>
        <v>Link</v>
      </c>
      <c r="D1077" t="s">
        <v>1426</v>
      </c>
      <c r="E1077" s="17">
        <v>0.5</v>
      </c>
      <c r="F1077" t="s">
        <v>1485</v>
      </c>
      <c r="G1077">
        <v>0.5</v>
      </c>
      <c r="Q1077" s="1"/>
      <c r="R1077" s="1"/>
    </row>
    <row r="1078" spans="1:19" ht="15.75" customHeight="1" x14ac:dyDescent="0.25">
      <c r="A1078" s="2">
        <v>5443644</v>
      </c>
      <c r="B1078">
        <v>100344194</v>
      </c>
      <c r="C1078" t="str">
        <f>HYPERLINK("https://ois.dk/map/100344194/sfe", "Link")</f>
        <v>Link</v>
      </c>
      <c r="D1078" t="s">
        <v>1426</v>
      </c>
      <c r="E1078" s="17">
        <v>0.5</v>
      </c>
      <c r="F1078" t="s">
        <v>1486</v>
      </c>
      <c r="G1078">
        <v>0.5</v>
      </c>
      <c r="Q1078" s="1"/>
      <c r="R1078" s="1"/>
    </row>
    <row r="1079" spans="1:19" ht="15.75" customHeight="1" x14ac:dyDescent="0.25">
      <c r="A1079" s="2">
        <v>5443644</v>
      </c>
      <c r="B1079">
        <v>100344195</v>
      </c>
      <c r="C1079" t="str">
        <f>HYPERLINK("https://ois.dk/map/100344195/sfe", "Link")</f>
        <v>Link</v>
      </c>
      <c r="D1079" t="s">
        <v>1426</v>
      </c>
      <c r="E1079" s="17">
        <v>0.5</v>
      </c>
      <c r="F1079" t="s">
        <v>1487</v>
      </c>
      <c r="G1079">
        <v>0.5</v>
      </c>
      <c r="Q1079" s="1"/>
      <c r="R1079" s="1"/>
    </row>
    <row r="1080" spans="1:19" ht="15.75" customHeight="1" x14ac:dyDescent="0.25">
      <c r="A1080" s="2">
        <v>5443644</v>
      </c>
      <c r="B1080">
        <v>100344196</v>
      </c>
      <c r="C1080" t="str">
        <f>HYPERLINK("https://ois.dk/map/100344196/sfe", "Link")</f>
        <v>Link</v>
      </c>
      <c r="D1080" t="s">
        <v>1426</v>
      </c>
      <c r="E1080" s="17">
        <v>0.5</v>
      </c>
      <c r="F1080" t="s">
        <v>1488</v>
      </c>
      <c r="G1080">
        <v>0.5</v>
      </c>
      <c r="Q1080" s="1"/>
      <c r="R1080" s="1"/>
    </row>
    <row r="1081" spans="1:19" ht="15.75" customHeight="1" x14ac:dyDescent="0.25">
      <c r="A1081" s="2">
        <v>5443644</v>
      </c>
      <c r="B1081">
        <v>100344199</v>
      </c>
      <c r="C1081" t="str">
        <f>HYPERLINK("https://ois.dk/map/100344199/sfe", "Link")</f>
        <v>Link</v>
      </c>
      <c r="D1081" t="s">
        <v>1426</v>
      </c>
      <c r="E1081" s="17">
        <v>0.5</v>
      </c>
      <c r="F1081" t="s">
        <v>1489</v>
      </c>
      <c r="G1081">
        <v>0.5</v>
      </c>
      <c r="Q1081" s="1"/>
      <c r="R1081" s="1"/>
    </row>
    <row r="1082" spans="1:19" ht="15.75" customHeight="1" x14ac:dyDescent="0.25">
      <c r="A1082" s="2">
        <v>5443644</v>
      </c>
      <c r="B1082">
        <v>100344272</v>
      </c>
      <c r="C1082" t="str">
        <f>HYPERLINK("https://ois.dk/map/100344272/sfe", "Link")</f>
        <v>Link</v>
      </c>
      <c r="D1082" t="s">
        <v>1426</v>
      </c>
      <c r="E1082" s="17">
        <v>0.5</v>
      </c>
      <c r="F1082" t="s">
        <v>1490</v>
      </c>
      <c r="G1082">
        <v>0.5</v>
      </c>
      <c r="Q1082" s="1"/>
      <c r="R1082" s="1"/>
    </row>
    <row r="1083" spans="1:19" ht="15.75" customHeight="1" x14ac:dyDescent="0.25">
      <c r="A1083" s="2">
        <v>5443644</v>
      </c>
      <c r="B1083">
        <v>100344273</v>
      </c>
      <c r="C1083" t="str">
        <f>HYPERLINK("https://ois.dk/map/100344273/sfe", "Link")</f>
        <v>Link</v>
      </c>
      <c r="D1083" t="s">
        <v>1426</v>
      </c>
      <c r="E1083" s="17">
        <v>0.5</v>
      </c>
      <c r="F1083" t="s">
        <v>1491</v>
      </c>
      <c r="G1083">
        <v>0.5</v>
      </c>
      <c r="Q1083" s="1"/>
      <c r="R1083" s="1"/>
    </row>
    <row r="1084" spans="1:19" ht="15.75" customHeight="1" x14ac:dyDescent="0.25">
      <c r="A1084" s="2">
        <v>5443644</v>
      </c>
      <c r="B1084">
        <v>100344274</v>
      </c>
      <c r="C1084" t="str">
        <f>HYPERLINK("https://ois.dk/map/100344274/sfe", "Link")</f>
        <v>Link</v>
      </c>
      <c r="D1084" t="s">
        <v>1426</v>
      </c>
      <c r="E1084" s="17">
        <v>0.5</v>
      </c>
      <c r="F1084" t="s">
        <v>1492</v>
      </c>
      <c r="G1084">
        <v>0.5</v>
      </c>
      <c r="Q1084" s="1"/>
      <c r="R1084" s="1"/>
    </row>
    <row r="1085" spans="1:19" ht="15.75" customHeight="1" x14ac:dyDescent="0.25">
      <c r="A1085" s="2">
        <v>5443645</v>
      </c>
      <c r="B1085">
        <v>5443645</v>
      </c>
      <c r="C1085" t="str">
        <f>HYPERLINK("https://ois.dk/map/5443645/sfe", "Link")</f>
        <v>Link</v>
      </c>
      <c r="D1085" t="s">
        <v>1493</v>
      </c>
      <c r="E1085" s="17">
        <v>0.5</v>
      </c>
      <c r="G1085">
        <v>0.5</v>
      </c>
      <c r="Q1085" s="1"/>
      <c r="R1085" s="1"/>
    </row>
    <row r="1086" spans="1:19" ht="15.75" customHeight="1" x14ac:dyDescent="0.25">
      <c r="A1086" s="2">
        <v>5443646</v>
      </c>
      <c r="B1086">
        <v>5443646</v>
      </c>
      <c r="C1086" t="str">
        <f>HYPERLINK("https://ois.dk/map/5443646/sfe", "Link")</f>
        <v>Link</v>
      </c>
      <c r="D1086" t="s">
        <v>1494</v>
      </c>
      <c r="E1086" s="17">
        <v>1.75</v>
      </c>
      <c r="F1086" t="s">
        <v>1495</v>
      </c>
      <c r="G1086">
        <v>0.5</v>
      </c>
      <c r="H1086">
        <v>0.25</v>
      </c>
      <c r="I1086">
        <v>1</v>
      </c>
      <c r="Q1086" s="1"/>
      <c r="R1086" s="1">
        <v>1.83</v>
      </c>
    </row>
    <row r="1087" spans="1:19" ht="15.75" customHeight="1" x14ac:dyDescent="0.25">
      <c r="A1087" s="2">
        <v>5443647</v>
      </c>
      <c r="B1087">
        <v>5443647</v>
      </c>
      <c r="C1087" t="str">
        <f>HYPERLINK("https://ois.dk/map/5443647/sfe", "Link")</f>
        <v>Link</v>
      </c>
      <c r="D1087" t="s">
        <v>1496</v>
      </c>
      <c r="E1087" s="17">
        <v>0.75</v>
      </c>
      <c r="F1087" t="s">
        <v>1497</v>
      </c>
      <c r="G1087">
        <v>0.5</v>
      </c>
      <c r="H1087">
        <v>0.25</v>
      </c>
      <c r="Q1087" s="1"/>
      <c r="R1087" s="1"/>
    </row>
    <row r="1088" spans="1:19" ht="15.75" customHeight="1" x14ac:dyDescent="0.25">
      <c r="A1088" s="2">
        <v>5443648</v>
      </c>
      <c r="B1088">
        <v>5443648</v>
      </c>
      <c r="C1088" t="str">
        <f>HYPERLINK("https://ois.dk/map/5443648/sfe", "Link")</f>
        <v>Link</v>
      </c>
      <c r="D1088" t="s">
        <v>1498</v>
      </c>
      <c r="E1088" s="17">
        <v>2.0499999999999998</v>
      </c>
      <c r="F1088" t="s">
        <v>1499</v>
      </c>
      <c r="G1088">
        <v>0.5</v>
      </c>
      <c r="H1088">
        <v>0.25</v>
      </c>
      <c r="I1088">
        <v>1</v>
      </c>
      <c r="J1088">
        <v>0.3</v>
      </c>
      <c r="Q1088" s="1"/>
      <c r="R1088" s="1">
        <v>1.98</v>
      </c>
      <c r="S1088">
        <v>0.75</v>
      </c>
    </row>
    <row r="1089" spans="1:19" ht="15.75" customHeight="1" x14ac:dyDescent="0.25">
      <c r="A1089" s="2">
        <v>5443649</v>
      </c>
      <c r="B1089">
        <v>5443649</v>
      </c>
      <c r="C1089" t="str">
        <f>HYPERLINK("https://ois.dk/map/5443649/sfe", "Link")</f>
        <v>Link</v>
      </c>
      <c r="D1089" t="s">
        <v>1500</v>
      </c>
      <c r="E1089" s="17">
        <v>0.75</v>
      </c>
      <c r="G1089">
        <v>0.5</v>
      </c>
      <c r="H1089">
        <v>0.25</v>
      </c>
      <c r="Q1089" s="1"/>
      <c r="R1089" s="1"/>
    </row>
    <row r="1090" spans="1:19" ht="15.75" customHeight="1" x14ac:dyDescent="0.25">
      <c r="A1090" s="2">
        <v>5443650</v>
      </c>
      <c r="B1090">
        <v>5443650</v>
      </c>
      <c r="C1090" t="str">
        <f>HYPERLINK("https://ois.dk/map/5443650/sfe", "Link")</f>
        <v>Link</v>
      </c>
      <c r="D1090" t="s">
        <v>1501</v>
      </c>
      <c r="E1090" s="17">
        <v>2.0499999999999998</v>
      </c>
      <c r="F1090" t="s">
        <v>1502</v>
      </c>
      <c r="G1090">
        <v>0.5</v>
      </c>
      <c r="H1090">
        <v>0.25</v>
      </c>
      <c r="I1090">
        <v>1</v>
      </c>
      <c r="J1090">
        <v>0.3</v>
      </c>
      <c r="Q1090" s="1"/>
      <c r="R1090" s="1">
        <v>1.95</v>
      </c>
      <c r="S1090">
        <v>1.29</v>
      </c>
    </row>
    <row r="1091" spans="1:19" ht="15.75" customHeight="1" x14ac:dyDescent="0.25">
      <c r="A1091" s="2">
        <v>5443651</v>
      </c>
      <c r="B1091">
        <v>5443651</v>
      </c>
      <c r="C1091" t="str">
        <f>HYPERLINK("https://ois.dk/map/5443651/sfe", "Link")</f>
        <v>Link</v>
      </c>
      <c r="D1091" t="s">
        <v>1503</v>
      </c>
      <c r="E1091" s="17">
        <v>1.75</v>
      </c>
      <c r="F1091" t="s">
        <v>1504</v>
      </c>
      <c r="G1091">
        <v>0.5</v>
      </c>
      <c r="H1091">
        <v>0.25</v>
      </c>
      <c r="I1091">
        <v>1</v>
      </c>
      <c r="Q1091" s="1"/>
      <c r="R1091" s="1">
        <v>1.87</v>
      </c>
    </row>
    <row r="1092" spans="1:19" ht="15.75" customHeight="1" x14ac:dyDescent="0.25">
      <c r="A1092" s="2">
        <v>5443656</v>
      </c>
      <c r="B1092">
        <v>5443656</v>
      </c>
      <c r="C1092" t="str">
        <f>HYPERLINK("https://ois.dk/map/5443656/sfe", "Link")</f>
        <v>Link</v>
      </c>
      <c r="D1092" t="s">
        <v>1505</v>
      </c>
      <c r="E1092" s="17">
        <v>1.05</v>
      </c>
      <c r="F1092" t="s">
        <v>1506</v>
      </c>
      <c r="G1092">
        <v>0.5</v>
      </c>
      <c r="H1092">
        <v>0.25</v>
      </c>
      <c r="J1092">
        <v>0.3</v>
      </c>
      <c r="Q1092" s="1"/>
      <c r="R1092" s="1">
        <v>0.8</v>
      </c>
      <c r="S1092">
        <v>0.56999999999999995</v>
      </c>
    </row>
    <row r="1093" spans="1:19" ht="15.75" customHeight="1" x14ac:dyDescent="0.25">
      <c r="A1093" s="2">
        <v>5443659</v>
      </c>
      <c r="B1093">
        <v>5443659</v>
      </c>
      <c r="C1093" t="str">
        <f>HYPERLINK("https://ois.dk/map/5443659/sfe", "Link")</f>
        <v>Link</v>
      </c>
      <c r="D1093" t="s">
        <v>1507</v>
      </c>
      <c r="E1093" s="17">
        <v>1.75</v>
      </c>
      <c r="F1093" t="s">
        <v>1508</v>
      </c>
      <c r="G1093">
        <v>0.5</v>
      </c>
      <c r="H1093">
        <v>0.25</v>
      </c>
      <c r="I1093">
        <v>1</v>
      </c>
      <c r="Q1093" s="1"/>
      <c r="R1093" s="1">
        <v>0.96</v>
      </c>
    </row>
    <row r="1094" spans="1:19" ht="15.75" customHeight="1" x14ac:dyDescent="0.25">
      <c r="A1094" s="2">
        <v>5443660</v>
      </c>
      <c r="B1094">
        <v>5443660</v>
      </c>
      <c r="C1094" t="str">
        <f>HYPERLINK("https://ois.dk/map/5443660/sfe", "Link")</f>
        <v>Link</v>
      </c>
      <c r="D1094" t="s">
        <v>1509</v>
      </c>
      <c r="E1094" s="17">
        <v>1.75</v>
      </c>
      <c r="F1094" t="s">
        <v>1510</v>
      </c>
      <c r="G1094">
        <v>0.5</v>
      </c>
      <c r="H1094">
        <v>0.25</v>
      </c>
      <c r="I1094">
        <v>1</v>
      </c>
      <c r="Q1094" s="1"/>
      <c r="R1094" s="1">
        <v>0.59</v>
      </c>
    </row>
    <row r="1095" spans="1:19" ht="15.75" customHeight="1" x14ac:dyDescent="0.25">
      <c r="A1095" s="2">
        <v>5443661</v>
      </c>
      <c r="B1095">
        <v>5443661</v>
      </c>
      <c r="C1095" t="str">
        <f>HYPERLINK("https://ois.dk/map/5443661/sfe", "Link")</f>
        <v>Link</v>
      </c>
      <c r="D1095" t="s">
        <v>1511</v>
      </c>
      <c r="E1095" s="17">
        <v>1.75</v>
      </c>
      <c r="F1095" t="s">
        <v>1512</v>
      </c>
      <c r="G1095">
        <v>0.5</v>
      </c>
      <c r="H1095">
        <v>0.25</v>
      </c>
      <c r="I1095">
        <v>1</v>
      </c>
      <c r="Q1095" s="1"/>
      <c r="R1095" s="1">
        <v>0.56999999999999995</v>
      </c>
    </row>
    <row r="1096" spans="1:19" ht="15.75" customHeight="1" x14ac:dyDescent="0.25">
      <c r="A1096" s="2">
        <v>5443662</v>
      </c>
      <c r="B1096">
        <v>5443662</v>
      </c>
      <c r="C1096" t="str">
        <f>HYPERLINK("https://ois.dk/map/5443662/sfe", "Link")</f>
        <v>Link</v>
      </c>
      <c r="D1096" t="s">
        <v>1513</v>
      </c>
      <c r="E1096" s="17">
        <v>1.75</v>
      </c>
      <c r="F1096" t="s">
        <v>1514</v>
      </c>
      <c r="G1096">
        <v>0.5</v>
      </c>
      <c r="H1096">
        <v>0.25</v>
      </c>
      <c r="I1096">
        <v>1</v>
      </c>
      <c r="Q1096" s="1"/>
      <c r="R1096" s="1">
        <v>0.36</v>
      </c>
    </row>
    <row r="1097" spans="1:19" ht="15.75" customHeight="1" x14ac:dyDescent="0.25">
      <c r="A1097" s="2">
        <v>5443663</v>
      </c>
      <c r="B1097">
        <v>5443663</v>
      </c>
      <c r="C1097" t="str">
        <f>HYPERLINK("https://ois.dk/map/5443663/sfe", "Link")</f>
        <v>Link</v>
      </c>
      <c r="D1097" t="s">
        <v>134</v>
      </c>
      <c r="E1097" s="17">
        <v>1.2749999999999999</v>
      </c>
      <c r="G1097">
        <v>0.5</v>
      </c>
      <c r="M1097">
        <v>0.77500000000000002</v>
      </c>
      <c r="Q1097" s="1"/>
      <c r="R1097" s="1"/>
    </row>
    <row r="1098" spans="1:19" ht="15.75" customHeight="1" x14ac:dyDescent="0.25">
      <c r="A1098" s="2">
        <v>5443669</v>
      </c>
      <c r="B1098">
        <v>5443669</v>
      </c>
      <c r="C1098" t="str">
        <f>HYPERLINK("https://ois.dk/map/5443669/sfe", "Link")</f>
        <v>Link</v>
      </c>
      <c r="D1098" t="s">
        <v>1515</v>
      </c>
      <c r="E1098" s="17">
        <v>1.75</v>
      </c>
      <c r="F1098" t="s">
        <v>1516</v>
      </c>
      <c r="G1098">
        <v>0.5</v>
      </c>
      <c r="H1098">
        <v>0.25</v>
      </c>
      <c r="I1098">
        <v>1</v>
      </c>
      <c r="Q1098" s="1"/>
      <c r="R1098" s="1">
        <v>1.52</v>
      </c>
    </row>
    <row r="1099" spans="1:19" ht="15.75" customHeight="1" x14ac:dyDescent="0.25">
      <c r="A1099" s="2">
        <v>5443670</v>
      </c>
      <c r="B1099">
        <v>5443670</v>
      </c>
      <c r="C1099" t="str">
        <f t="shared" ref="C1099:C1105" si="33">HYPERLINK("https://ois.dk/map/5443670/sfe", "Link")</f>
        <v>Link</v>
      </c>
      <c r="D1099" t="s">
        <v>1517</v>
      </c>
      <c r="E1099" s="17">
        <v>0.25</v>
      </c>
      <c r="F1099" t="s">
        <v>1518</v>
      </c>
      <c r="H1099">
        <v>0.25</v>
      </c>
      <c r="Q1099" s="1"/>
      <c r="R1099" s="1">
        <v>1.49</v>
      </c>
    </row>
    <row r="1100" spans="1:19" ht="15.75" customHeight="1" x14ac:dyDescent="0.25">
      <c r="A1100" s="2">
        <v>5443670</v>
      </c>
      <c r="B1100">
        <v>5443670</v>
      </c>
      <c r="C1100" t="str">
        <f t="shared" si="33"/>
        <v>Link</v>
      </c>
      <c r="D1100" t="s">
        <v>1517</v>
      </c>
      <c r="E1100" s="17">
        <v>0.5</v>
      </c>
      <c r="F1100" t="s">
        <v>1519</v>
      </c>
      <c r="G1100">
        <v>0.5</v>
      </c>
      <c r="Q1100" s="1"/>
      <c r="R1100" s="1"/>
    </row>
    <row r="1101" spans="1:19" ht="15.75" customHeight="1" x14ac:dyDescent="0.25">
      <c r="A1101" s="2">
        <v>5443670</v>
      </c>
      <c r="B1101">
        <v>5443670</v>
      </c>
      <c r="C1101" t="str">
        <f t="shared" si="33"/>
        <v>Link</v>
      </c>
      <c r="D1101" t="s">
        <v>1517</v>
      </c>
      <c r="E1101" s="17">
        <v>1.5</v>
      </c>
      <c r="F1101" t="s">
        <v>1518</v>
      </c>
      <c r="G1101">
        <v>0.5</v>
      </c>
      <c r="I1101">
        <v>1</v>
      </c>
      <c r="Q1101" s="1"/>
      <c r="R1101" s="1">
        <v>1.67</v>
      </c>
    </row>
    <row r="1102" spans="1:19" ht="15.75" customHeight="1" x14ac:dyDescent="0.25">
      <c r="A1102" s="2">
        <v>5443670</v>
      </c>
      <c r="B1102">
        <v>5443670</v>
      </c>
      <c r="C1102" t="str">
        <f t="shared" si="33"/>
        <v>Link</v>
      </c>
      <c r="D1102" t="s">
        <v>1517</v>
      </c>
      <c r="E1102" s="17">
        <v>1.5</v>
      </c>
      <c r="F1102" t="s">
        <v>1518</v>
      </c>
      <c r="G1102">
        <v>0.5</v>
      </c>
      <c r="I1102">
        <v>1</v>
      </c>
      <c r="Q1102" s="1"/>
      <c r="R1102" s="1">
        <v>1.49</v>
      </c>
    </row>
    <row r="1103" spans="1:19" ht="15.75" customHeight="1" x14ac:dyDescent="0.25">
      <c r="A1103" s="2">
        <v>5443670</v>
      </c>
      <c r="B1103">
        <v>5443670</v>
      </c>
      <c r="C1103" t="str">
        <f t="shared" si="33"/>
        <v>Link</v>
      </c>
      <c r="D1103" t="s">
        <v>1517</v>
      </c>
      <c r="E1103" s="17">
        <v>1.5</v>
      </c>
      <c r="F1103" t="s">
        <v>1518</v>
      </c>
      <c r="G1103">
        <v>0.5</v>
      </c>
      <c r="I1103">
        <v>1</v>
      </c>
      <c r="Q1103" s="1"/>
      <c r="R1103" s="1">
        <v>1.49</v>
      </c>
    </row>
    <row r="1104" spans="1:19" ht="15.75" customHeight="1" x14ac:dyDescent="0.25">
      <c r="A1104" s="2">
        <v>5443670</v>
      </c>
      <c r="B1104">
        <v>5443670</v>
      </c>
      <c r="C1104" t="str">
        <f t="shared" si="33"/>
        <v>Link</v>
      </c>
      <c r="D1104" t="s">
        <v>1517</v>
      </c>
      <c r="E1104" s="17">
        <v>1.5</v>
      </c>
      <c r="F1104" t="s">
        <v>1518</v>
      </c>
      <c r="G1104">
        <v>0.5</v>
      </c>
      <c r="I1104">
        <v>1</v>
      </c>
      <c r="Q1104" s="1"/>
      <c r="R1104" s="1">
        <v>1.67</v>
      </c>
    </row>
    <row r="1105" spans="1:18" ht="15.75" customHeight="1" x14ac:dyDescent="0.25">
      <c r="A1105" s="2">
        <v>5443670</v>
      </c>
      <c r="B1105">
        <v>5443670</v>
      </c>
      <c r="C1105" t="str">
        <f t="shared" si="33"/>
        <v>Link</v>
      </c>
      <c r="D1105" t="s">
        <v>1517</v>
      </c>
      <c r="E1105" s="17">
        <v>1.5</v>
      </c>
      <c r="F1105" t="s">
        <v>1520</v>
      </c>
      <c r="G1105">
        <v>0.5</v>
      </c>
      <c r="I1105">
        <v>1</v>
      </c>
      <c r="Q1105" s="1"/>
      <c r="R1105" s="1">
        <v>1.76</v>
      </c>
    </row>
    <row r="1106" spans="1:18" ht="15.75" customHeight="1" x14ac:dyDescent="0.25">
      <c r="A1106" s="2">
        <v>5443674</v>
      </c>
      <c r="B1106">
        <v>5443674</v>
      </c>
      <c r="C1106" t="str">
        <f t="shared" ref="C1106:C1115" si="34">HYPERLINK("https://ois.dk/map/5443674/sfe", "Link")</f>
        <v>Link</v>
      </c>
      <c r="D1106" t="s">
        <v>1521</v>
      </c>
      <c r="E1106" s="17">
        <v>2.25</v>
      </c>
      <c r="F1106" t="s">
        <v>1522</v>
      </c>
      <c r="H1106">
        <v>0.25</v>
      </c>
      <c r="K1106">
        <v>2</v>
      </c>
      <c r="Q1106" s="1"/>
      <c r="R1106" s="1">
        <v>0.91</v>
      </c>
    </row>
    <row r="1107" spans="1:18" ht="15.75" customHeight="1" x14ac:dyDescent="0.25">
      <c r="A1107" s="2">
        <v>5443674</v>
      </c>
      <c r="B1107">
        <v>5443674</v>
      </c>
      <c r="C1107" t="str">
        <f t="shared" si="34"/>
        <v>Link</v>
      </c>
      <c r="D1107" t="s">
        <v>1521</v>
      </c>
      <c r="E1107" s="17">
        <v>1.5</v>
      </c>
      <c r="F1107" t="s">
        <v>1522</v>
      </c>
      <c r="G1107">
        <v>0.5</v>
      </c>
      <c r="I1107">
        <v>1</v>
      </c>
      <c r="Q1107" s="1"/>
      <c r="R1107" s="1">
        <v>1.06</v>
      </c>
    </row>
    <row r="1108" spans="1:18" ht="15.75" customHeight="1" x14ac:dyDescent="0.25">
      <c r="A1108" s="2">
        <v>5443674</v>
      </c>
      <c r="B1108">
        <v>5443674</v>
      </c>
      <c r="C1108" t="str">
        <f t="shared" si="34"/>
        <v>Link</v>
      </c>
      <c r="D1108" t="s">
        <v>1521</v>
      </c>
      <c r="E1108" s="17">
        <v>1.5</v>
      </c>
      <c r="F1108" t="s">
        <v>1522</v>
      </c>
      <c r="G1108">
        <v>0.5</v>
      </c>
      <c r="I1108">
        <v>1</v>
      </c>
      <c r="Q1108" s="1"/>
      <c r="R1108" s="1">
        <v>1.23</v>
      </c>
    </row>
    <row r="1109" spans="1:18" ht="15.75" customHeight="1" x14ac:dyDescent="0.25">
      <c r="A1109" s="2">
        <v>5443674</v>
      </c>
      <c r="B1109">
        <v>5443674</v>
      </c>
      <c r="C1109" t="str">
        <f t="shared" si="34"/>
        <v>Link</v>
      </c>
      <c r="D1109" t="s">
        <v>1521</v>
      </c>
      <c r="E1109" s="17">
        <v>1.5</v>
      </c>
      <c r="F1109" t="s">
        <v>1522</v>
      </c>
      <c r="G1109">
        <v>0.5</v>
      </c>
      <c r="I1109">
        <v>1</v>
      </c>
      <c r="Q1109" s="1"/>
      <c r="R1109" s="1">
        <v>0.96</v>
      </c>
    </row>
    <row r="1110" spans="1:18" ht="15.75" customHeight="1" x14ac:dyDescent="0.25">
      <c r="A1110" s="2">
        <v>5443674</v>
      </c>
      <c r="B1110">
        <v>5443674</v>
      </c>
      <c r="C1110" t="str">
        <f t="shared" si="34"/>
        <v>Link</v>
      </c>
      <c r="D1110" t="s">
        <v>1521</v>
      </c>
      <c r="E1110" s="17">
        <v>1.5</v>
      </c>
      <c r="F1110" t="s">
        <v>1522</v>
      </c>
      <c r="G1110">
        <v>0.5</v>
      </c>
      <c r="I1110">
        <v>1</v>
      </c>
      <c r="Q1110" s="1"/>
      <c r="R1110" s="1">
        <v>1.3</v>
      </c>
    </row>
    <row r="1111" spans="1:18" ht="15.75" customHeight="1" x14ac:dyDescent="0.25">
      <c r="A1111" s="2">
        <v>5443674</v>
      </c>
      <c r="B1111">
        <v>5443674</v>
      </c>
      <c r="C1111" t="str">
        <f t="shared" si="34"/>
        <v>Link</v>
      </c>
      <c r="D1111" t="s">
        <v>1521</v>
      </c>
      <c r="E1111" s="17">
        <v>1.5</v>
      </c>
      <c r="F1111" t="s">
        <v>1522</v>
      </c>
      <c r="G1111">
        <v>0.5</v>
      </c>
      <c r="I1111">
        <v>1</v>
      </c>
      <c r="Q1111" s="1"/>
      <c r="R1111" s="1">
        <v>1.04</v>
      </c>
    </row>
    <row r="1112" spans="1:18" ht="15.75" customHeight="1" x14ac:dyDescent="0.25">
      <c r="A1112" s="2">
        <v>5443674</v>
      </c>
      <c r="B1112">
        <v>5443674</v>
      </c>
      <c r="C1112" t="str">
        <f t="shared" si="34"/>
        <v>Link</v>
      </c>
      <c r="D1112" t="s">
        <v>1521</v>
      </c>
      <c r="E1112" s="17">
        <v>1.5</v>
      </c>
      <c r="F1112" t="s">
        <v>1522</v>
      </c>
      <c r="G1112">
        <v>0.5</v>
      </c>
      <c r="I1112">
        <v>1</v>
      </c>
      <c r="Q1112" s="1"/>
      <c r="R1112" s="1">
        <v>0.91</v>
      </c>
    </row>
    <row r="1113" spans="1:18" ht="15.75" customHeight="1" x14ac:dyDescent="0.25">
      <c r="A1113" s="2">
        <v>5443674</v>
      </c>
      <c r="B1113">
        <v>5443674</v>
      </c>
      <c r="C1113" t="str">
        <f t="shared" si="34"/>
        <v>Link</v>
      </c>
      <c r="D1113" t="s">
        <v>1521</v>
      </c>
      <c r="E1113" s="17">
        <v>1.5</v>
      </c>
      <c r="F1113" t="s">
        <v>1522</v>
      </c>
      <c r="G1113">
        <v>0.5</v>
      </c>
      <c r="I1113">
        <v>1</v>
      </c>
      <c r="Q1113" s="1"/>
      <c r="R1113" s="1">
        <v>0.95</v>
      </c>
    </row>
    <row r="1114" spans="1:18" ht="15.75" customHeight="1" x14ac:dyDescent="0.25">
      <c r="A1114" s="2">
        <v>5443674</v>
      </c>
      <c r="B1114">
        <v>5443674</v>
      </c>
      <c r="C1114" t="str">
        <f t="shared" si="34"/>
        <v>Link</v>
      </c>
      <c r="D1114" t="s">
        <v>1521</v>
      </c>
      <c r="E1114" s="17">
        <v>1.5</v>
      </c>
      <c r="F1114" t="s">
        <v>1522</v>
      </c>
      <c r="G1114">
        <v>0.5</v>
      </c>
      <c r="I1114">
        <v>1</v>
      </c>
      <c r="Q1114" s="1"/>
      <c r="R1114" s="1">
        <v>0.99</v>
      </c>
    </row>
    <row r="1115" spans="1:18" ht="15.75" customHeight="1" x14ac:dyDescent="0.25">
      <c r="A1115" s="2">
        <v>5443674</v>
      </c>
      <c r="B1115">
        <v>5443674</v>
      </c>
      <c r="C1115" t="str">
        <f t="shared" si="34"/>
        <v>Link</v>
      </c>
      <c r="D1115" t="s">
        <v>1521</v>
      </c>
      <c r="E1115" s="17">
        <v>1.5</v>
      </c>
      <c r="F1115" t="s">
        <v>1522</v>
      </c>
      <c r="G1115">
        <v>0.5</v>
      </c>
      <c r="I1115">
        <v>1</v>
      </c>
      <c r="Q1115" s="1"/>
      <c r="R1115" s="1">
        <v>1.31</v>
      </c>
    </row>
    <row r="1116" spans="1:18" ht="15.75" customHeight="1" x14ac:dyDescent="0.25">
      <c r="A1116" s="2">
        <v>5443684</v>
      </c>
      <c r="B1116">
        <v>5443684</v>
      </c>
      <c r="C1116" t="str">
        <f>HYPERLINK("https://ois.dk/map/5443684/sfe", "Link")</f>
        <v>Link</v>
      </c>
      <c r="D1116" t="s">
        <v>1523</v>
      </c>
      <c r="E1116" s="17">
        <v>0.5</v>
      </c>
      <c r="G1116">
        <v>0.5</v>
      </c>
      <c r="Q1116" s="1"/>
      <c r="R1116" s="1"/>
    </row>
    <row r="1117" spans="1:18" ht="15.75" customHeight="1" x14ac:dyDescent="0.25">
      <c r="A1117" s="2">
        <v>5443688</v>
      </c>
      <c r="B1117">
        <v>5443688</v>
      </c>
      <c r="C1117" t="str">
        <f>HYPERLINK("https://ois.dk/map/5443688/sfe", "Link")</f>
        <v>Link</v>
      </c>
      <c r="D1117" t="s">
        <v>1524</v>
      </c>
      <c r="E1117" s="17">
        <v>1.25</v>
      </c>
      <c r="F1117" t="s">
        <v>1525</v>
      </c>
      <c r="H1117">
        <v>0.25</v>
      </c>
      <c r="K1117">
        <v>1</v>
      </c>
      <c r="Q1117" s="1"/>
      <c r="R1117" s="1">
        <v>0.56999999999999995</v>
      </c>
    </row>
    <row r="1118" spans="1:18" ht="15.75" customHeight="1" x14ac:dyDescent="0.25">
      <c r="A1118" s="2">
        <v>5443688</v>
      </c>
      <c r="B1118">
        <v>5443688</v>
      </c>
      <c r="C1118" t="str">
        <f>HYPERLINK("https://ois.dk/map/5443688/sfe", "Link")</f>
        <v>Link</v>
      </c>
      <c r="D1118" t="s">
        <v>1524</v>
      </c>
      <c r="E1118" s="17">
        <v>1.5</v>
      </c>
      <c r="F1118" t="s">
        <v>1525</v>
      </c>
      <c r="G1118">
        <v>0.5</v>
      </c>
      <c r="I1118">
        <v>1</v>
      </c>
      <c r="Q1118" s="1"/>
      <c r="R1118" s="1">
        <v>0.56999999999999995</v>
      </c>
    </row>
    <row r="1119" spans="1:18" ht="15.75" customHeight="1" x14ac:dyDescent="0.25">
      <c r="A1119" s="2">
        <v>5443688</v>
      </c>
      <c r="B1119">
        <v>5443688</v>
      </c>
      <c r="C1119" t="str">
        <f>HYPERLINK("https://ois.dk/map/5443688/sfe", "Link")</f>
        <v>Link</v>
      </c>
      <c r="D1119" t="s">
        <v>1524</v>
      </c>
      <c r="E1119" s="17">
        <v>1.5</v>
      </c>
      <c r="F1119" t="s">
        <v>1525</v>
      </c>
      <c r="G1119">
        <v>0.5</v>
      </c>
      <c r="I1119">
        <v>1</v>
      </c>
      <c r="Q1119" s="1"/>
      <c r="R1119" s="1">
        <v>0.63</v>
      </c>
    </row>
    <row r="1120" spans="1:18" ht="15.75" customHeight="1" x14ac:dyDescent="0.25">
      <c r="A1120" s="2">
        <v>5443688</v>
      </c>
      <c r="B1120">
        <v>5443688</v>
      </c>
      <c r="C1120" t="str">
        <f>HYPERLINK("https://ois.dk/map/5443688/sfe", "Link")</f>
        <v>Link</v>
      </c>
      <c r="D1120" t="s">
        <v>1524</v>
      </c>
      <c r="E1120" s="17">
        <v>1.5</v>
      </c>
      <c r="F1120" t="s">
        <v>1525</v>
      </c>
      <c r="G1120">
        <v>0.5</v>
      </c>
      <c r="I1120">
        <v>1</v>
      </c>
      <c r="Q1120" s="1"/>
      <c r="R1120" s="1">
        <v>0.8</v>
      </c>
    </row>
    <row r="1121" spans="1:19" ht="15.75" customHeight="1" x14ac:dyDescent="0.25">
      <c r="A1121" s="2">
        <v>5443689</v>
      </c>
      <c r="B1121">
        <v>5443689</v>
      </c>
      <c r="C1121" t="str">
        <f>HYPERLINK("https://ois.dk/map/5443689/sfe", "Link")</f>
        <v>Link</v>
      </c>
      <c r="D1121" t="s">
        <v>1526</v>
      </c>
      <c r="E1121" s="17">
        <v>1.55</v>
      </c>
      <c r="F1121" t="s">
        <v>1527</v>
      </c>
      <c r="H1121">
        <v>0.25</v>
      </c>
      <c r="J1121">
        <v>0.3</v>
      </c>
      <c r="K1121">
        <v>1</v>
      </c>
      <c r="Q1121" s="1"/>
      <c r="R1121" s="1">
        <v>0.75</v>
      </c>
      <c r="S1121">
        <v>1.07</v>
      </c>
    </row>
    <row r="1122" spans="1:19" ht="15.75" customHeight="1" x14ac:dyDescent="0.25">
      <c r="A1122" s="2">
        <v>5443689</v>
      </c>
      <c r="B1122">
        <v>5443689</v>
      </c>
      <c r="C1122" t="str">
        <f>HYPERLINK("https://ois.dk/map/5443689/sfe", "Link")</f>
        <v>Link</v>
      </c>
      <c r="D1122" t="s">
        <v>1526</v>
      </c>
      <c r="E1122" s="17">
        <v>1.5</v>
      </c>
      <c r="F1122" t="s">
        <v>1527</v>
      </c>
      <c r="G1122">
        <v>0.5</v>
      </c>
      <c r="I1122">
        <v>1</v>
      </c>
      <c r="Q1122" s="1"/>
      <c r="R1122" s="1">
        <v>1.21</v>
      </c>
      <c r="S1122">
        <v>1.07</v>
      </c>
    </row>
    <row r="1123" spans="1:19" ht="15.75" customHeight="1" x14ac:dyDescent="0.25">
      <c r="A1123" s="2">
        <v>5443689</v>
      </c>
      <c r="B1123">
        <v>5443689</v>
      </c>
      <c r="C1123" t="str">
        <f>HYPERLINK("https://ois.dk/map/5443689/sfe", "Link")</f>
        <v>Link</v>
      </c>
      <c r="D1123" t="s">
        <v>1526</v>
      </c>
      <c r="E1123" s="17">
        <v>1.5</v>
      </c>
      <c r="F1123" t="s">
        <v>1528</v>
      </c>
      <c r="G1123">
        <v>0.5</v>
      </c>
      <c r="I1123">
        <v>1</v>
      </c>
      <c r="Q1123" s="1"/>
      <c r="R1123" s="1">
        <v>0.75</v>
      </c>
      <c r="S1123">
        <v>1.07</v>
      </c>
    </row>
    <row r="1124" spans="1:19" ht="15.75" customHeight="1" x14ac:dyDescent="0.25">
      <c r="A1124" s="2">
        <v>5443690</v>
      </c>
      <c r="B1124">
        <v>5443690</v>
      </c>
      <c r="C1124" t="str">
        <f>HYPERLINK("https://ois.dk/map/5443690/sfe", "Link")</f>
        <v>Link</v>
      </c>
      <c r="D1124" t="s">
        <v>1529</v>
      </c>
      <c r="E1124" s="17">
        <v>1.75</v>
      </c>
      <c r="F1124" t="s">
        <v>1530</v>
      </c>
      <c r="G1124">
        <v>0.5</v>
      </c>
      <c r="H1124">
        <v>0.25</v>
      </c>
      <c r="I1124">
        <v>1</v>
      </c>
      <c r="Q1124" s="1"/>
      <c r="R1124" s="1">
        <v>1.32</v>
      </c>
    </row>
    <row r="1125" spans="1:19" ht="15.75" customHeight="1" x14ac:dyDescent="0.25">
      <c r="A1125" s="2">
        <v>5443691</v>
      </c>
      <c r="B1125">
        <v>5443691</v>
      </c>
      <c r="C1125" t="str">
        <f>HYPERLINK("https://ois.dk/map/5443691/sfe", "Link")</f>
        <v>Link</v>
      </c>
      <c r="D1125" t="s">
        <v>1531</v>
      </c>
      <c r="E1125" s="17">
        <v>1.75</v>
      </c>
      <c r="F1125" t="s">
        <v>1532</v>
      </c>
      <c r="G1125">
        <v>0.5</v>
      </c>
      <c r="H1125">
        <v>0.25</v>
      </c>
      <c r="I1125">
        <v>1</v>
      </c>
      <c r="Q1125" s="1"/>
      <c r="R1125" s="1">
        <v>1.0900000000000001</v>
      </c>
    </row>
    <row r="1126" spans="1:19" ht="15.75" customHeight="1" x14ac:dyDescent="0.25">
      <c r="A1126" s="2">
        <v>5443692</v>
      </c>
      <c r="B1126">
        <v>5443692</v>
      </c>
      <c r="C1126" t="str">
        <f>HYPERLINK("https://ois.dk/map/5443692/sfe", "Link")</f>
        <v>Link</v>
      </c>
      <c r="D1126" t="s">
        <v>1533</v>
      </c>
      <c r="E1126" s="17">
        <v>1.75</v>
      </c>
      <c r="F1126" t="s">
        <v>1534</v>
      </c>
      <c r="G1126">
        <v>0.5</v>
      </c>
      <c r="H1126">
        <v>0.25</v>
      </c>
      <c r="I1126">
        <v>1</v>
      </c>
      <c r="Q1126" s="1"/>
      <c r="R1126" s="1">
        <v>1.31</v>
      </c>
    </row>
    <row r="1127" spans="1:19" ht="15.75" customHeight="1" x14ac:dyDescent="0.25">
      <c r="A1127" s="2">
        <v>5443693</v>
      </c>
      <c r="B1127">
        <v>5443693</v>
      </c>
      <c r="C1127" t="str">
        <f>HYPERLINK("https://ois.dk/map/5443693/sfe", "Link")</f>
        <v>Link</v>
      </c>
      <c r="D1127" t="s">
        <v>1535</v>
      </c>
      <c r="E1127" s="17">
        <v>1.75</v>
      </c>
      <c r="F1127" t="s">
        <v>1536</v>
      </c>
      <c r="G1127">
        <v>0.5</v>
      </c>
      <c r="H1127">
        <v>0.25</v>
      </c>
      <c r="I1127">
        <v>1</v>
      </c>
      <c r="Q1127" s="1"/>
      <c r="R1127" s="1">
        <v>1.19</v>
      </c>
    </row>
    <row r="1128" spans="1:19" ht="15.75" customHeight="1" x14ac:dyDescent="0.25">
      <c r="A1128" s="2">
        <v>5443694</v>
      </c>
      <c r="B1128">
        <v>5443694</v>
      </c>
      <c r="C1128" t="str">
        <f t="shared" ref="C1128:C1134" si="35">HYPERLINK("https://ois.dk/map/5443694/sfe", "Link")</f>
        <v>Link</v>
      </c>
      <c r="D1128" t="s">
        <v>1537</v>
      </c>
      <c r="E1128" s="17">
        <v>5.25</v>
      </c>
      <c r="F1128" t="s">
        <v>1538</v>
      </c>
      <c r="H1128">
        <v>0.25</v>
      </c>
      <c r="K1128">
        <v>5</v>
      </c>
      <c r="Q1128" s="1"/>
      <c r="R1128" s="1">
        <v>0.73</v>
      </c>
    </row>
    <row r="1129" spans="1:19" ht="15.75" customHeight="1" x14ac:dyDescent="0.25">
      <c r="A1129" s="2">
        <v>5443694</v>
      </c>
      <c r="B1129">
        <v>5443694</v>
      </c>
      <c r="C1129" t="str">
        <f t="shared" si="35"/>
        <v>Link</v>
      </c>
      <c r="D1129" t="s">
        <v>1537</v>
      </c>
      <c r="E1129" s="17">
        <v>1.5</v>
      </c>
      <c r="F1129" t="s">
        <v>1538</v>
      </c>
      <c r="G1129">
        <v>0.5</v>
      </c>
      <c r="I1129">
        <v>1</v>
      </c>
      <c r="Q1129" s="1"/>
      <c r="R1129" s="1">
        <v>0.83</v>
      </c>
    </row>
    <row r="1130" spans="1:19" ht="15.75" customHeight="1" x14ac:dyDescent="0.25">
      <c r="A1130" s="2">
        <v>5443694</v>
      </c>
      <c r="B1130">
        <v>5443694</v>
      </c>
      <c r="C1130" t="str">
        <f t="shared" si="35"/>
        <v>Link</v>
      </c>
      <c r="D1130" t="s">
        <v>1537</v>
      </c>
      <c r="E1130" s="17">
        <v>1.5</v>
      </c>
      <c r="F1130" t="s">
        <v>1538</v>
      </c>
      <c r="G1130">
        <v>0.5</v>
      </c>
      <c r="I1130">
        <v>1</v>
      </c>
      <c r="Q1130" s="1"/>
      <c r="R1130" s="1">
        <v>0.73</v>
      </c>
    </row>
    <row r="1131" spans="1:19" ht="15.75" customHeight="1" x14ac:dyDescent="0.25">
      <c r="A1131" s="2">
        <v>5443694</v>
      </c>
      <c r="B1131">
        <v>5443694</v>
      </c>
      <c r="C1131" t="str">
        <f t="shared" si="35"/>
        <v>Link</v>
      </c>
      <c r="D1131" t="s">
        <v>1537</v>
      </c>
      <c r="E1131" s="17">
        <v>1.5</v>
      </c>
      <c r="F1131" t="s">
        <v>1538</v>
      </c>
      <c r="G1131">
        <v>0.5</v>
      </c>
      <c r="I1131">
        <v>1</v>
      </c>
      <c r="Q1131" s="1"/>
      <c r="R1131" s="1">
        <v>0.83</v>
      </c>
    </row>
    <row r="1132" spans="1:19" ht="15.75" customHeight="1" x14ac:dyDescent="0.25">
      <c r="A1132" s="2">
        <v>5443694</v>
      </c>
      <c r="B1132">
        <v>5443694</v>
      </c>
      <c r="C1132" t="str">
        <f t="shared" si="35"/>
        <v>Link</v>
      </c>
      <c r="D1132" t="s">
        <v>1537</v>
      </c>
      <c r="E1132" s="17">
        <v>1.5</v>
      </c>
      <c r="F1132" t="s">
        <v>1538</v>
      </c>
      <c r="G1132">
        <v>0.5</v>
      </c>
      <c r="I1132">
        <v>1</v>
      </c>
      <c r="Q1132" s="1"/>
      <c r="R1132" s="1">
        <v>0.87</v>
      </c>
    </row>
    <row r="1133" spans="1:19" ht="15.75" customHeight="1" x14ac:dyDescent="0.25">
      <c r="A1133" s="2">
        <v>5443694</v>
      </c>
      <c r="B1133">
        <v>5443694</v>
      </c>
      <c r="C1133" t="str">
        <f t="shared" si="35"/>
        <v>Link</v>
      </c>
      <c r="D1133" t="s">
        <v>1537</v>
      </c>
      <c r="E1133" s="17">
        <v>1.5</v>
      </c>
      <c r="F1133" t="s">
        <v>1538</v>
      </c>
      <c r="G1133">
        <v>0.5</v>
      </c>
      <c r="I1133">
        <v>1</v>
      </c>
      <c r="Q1133" s="1"/>
      <c r="R1133" s="1">
        <v>0.89</v>
      </c>
    </row>
    <row r="1134" spans="1:19" ht="15.75" customHeight="1" x14ac:dyDescent="0.25">
      <c r="A1134" s="2">
        <v>5443694</v>
      </c>
      <c r="B1134">
        <v>5443694</v>
      </c>
      <c r="C1134" t="str">
        <f t="shared" si="35"/>
        <v>Link</v>
      </c>
      <c r="D1134" t="s">
        <v>1537</v>
      </c>
      <c r="E1134" s="17">
        <v>1.5</v>
      </c>
      <c r="F1134" t="s">
        <v>1538</v>
      </c>
      <c r="G1134">
        <v>0.5</v>
      </c>
      <c r="I1134">
        <v>1</v>
      </c>
      <c r="Q1134" s="1"/>
      <c r="R1134" s="1">
        <v>0.86</v>
      </c>
    </row>
    <row r="1135" spans="1:19" ht="15.75" customHeight="1" x14ac:dyDescent="0.25">
      <c r="A1135" s="2">
        <v>5443700</v>
      </c>
      <c r="B1135">
        <v>5443700</v>
      </c>
      <c r="C1135" t="str">
        <f>HYPERLINK("https://ois.dk/map/5443700/sfe", "Link")</f>
        <v>Link</v>
      </c>
      <c r="D1135" t="s">
        <v>1539</v>
      </c>
      <c r="E1135" s="17">
        <v>0.25</v>
      </c>
      <c r="F1135" t="s">
        <v>1540</v>
      </c>
      <c r="H1135">
        <v>0.25</v>
      </c>
      <c r="Q1135" s="1"/>
      <c r="R1135" s="1">
        <v>1.07</v>
      </c>
    </row>
    <row r="1136" spans="1:19" ht="15.75" customHeight="1" x14ac:dyDescent="0.25">
      <c r="A1136" s="2">
        <v>5443700</v>
      </c>
      <c r="B1136">
        <v>5443700</v>
      </c>
      <c r="C1136" t="str">
        <f>HYPERLINK("https://ois.dk/map/5443700/sfe", "Link")</f>
        <v>Link</v>
      </c>
      <c r="D1136" t="s">
        <v>1539</v>
      </c>
      <c r="E1136" s="17">
        <v>1.5</v>
      </c>
      <c r="F1136" t="s">
        <v>1540</v>
      </c>
      <c r="G1136">
        <v>0.5</v>
      </c>
      <c r="I1136">
        <v>1</v>
      </c>
      <c r="Q1136" s="1"/>
      <c r="R1136" s="1">
        <v>1.1299999999999999</v>
      </c>
    </row>
    <row r="1137" spans="1:18" ht="15.75" customHeight="1" x14ac:dyDescent="0.25">
      <c r="A1137" s="2">
        <v>5443700</v>
      </c>
      <c r="B1137">
        <v>5443700</v>
      </c>
      <c r="C1137" t="str">
        <f>HYPERLINK("https://ois.dk/map/5443700/sfe", "Link")</f>
        <v>Link</v>
      </c>
      <c r="D1137" t="s">
        <v>1539</v>
      </c>
      <c r="E1137" s="17">
        <v>1.5</v>
      </c>
      <c r="F1137" t="s">
        <v>1541</v>
      </c>
      <c r="G1137">
        <v>0.5</v>
      </c>
      <c r="I1137">
        <v>1</v>
      </c>
      <c r="Q1137" s="1"/>
      <c r="R1137" s="1">
        <v>1.29</v>
      </c>
    </row>
    <row r="1138" spans="1:18" ht="15.75" customHeight="1" x14ac:dyDescent="0.25">
      <c r="A1138" s="2">
        <v>5443700</v>
      </c>
      <c r="B1138">
        <v>5443700</v>
      </c>
      <c r="C1138" t="str">
        <f>HYPERLINK("https://ois.dk/map/5443700/sfe", "Link")</f>
        <v>Link</v>
      </c>
      <c r="D1138" t="s">
        <v>1539</v>
      </c>
      <c r="E1138" s="17">
        <v>1.5</v>
      </c>
      <c r="F1138" t="s">
        <v>1541</v>
      </c>
      <c r="G1138">
        <v>0.5</v>
      </c>
      <c r="I1138">
        <v>1</v>
      </c>
      <c r="Q1138" s="1"/>
      <c r="R1138" s="1">
        <v>1.07</v>
      </c>
    </row>
    <row r="1139" spans="1:18" ht="15.75" customHeight="1" x14ac:dyDescent="0.25">
      <c r="A1139" s="2">
        <v>5443701</v>
      </c>
      <c r="B1139">
        <v>5443701</v>
      </c>
      <c r="C1139" t="str">
        <f>HYPERLINK("https://ois.dk/map/5443701/sfe", "Link")</f>
        <v>Link</v>
      </c>
      <c r="D1139" t="s">
        <v>1542</v>
      </c>
      <c r="E1139" s="17">
        <v>1.75</v>
      </c>
      <c r="F1139" t="s">
        <v>1543</v>
      </c>
      <c r="G1139">
        <v>0.5</v>
      </c>
      <c r="H1139">
        <v>0.25</v>
      </c>
      <c r="I1139">
        <v>1</v>
      </c>
      <c r="Q1139" s="1"/>
      <c r="R1139" s="1">
        <v>1.04</v>
      </c>
    </row>
    <row r="1140" spans="1:18" ht="15.75" customHeight="1" x14ac:dyDescent="0.25">
      <c r="A1140" s="2">
        <v>5443702</v>
      </c>
      <c r="B1140">
        <v>5443702</v>
      </c>
      <c r="C1140" t="str">
        <f>HYPERLINK("https://ois.dk/map/5443702/sfe", "Link")</f>
        <v>Link</v>
      </c>
      <c r="D1140" t="s">
        <v>1544</v>
      </c>
      <c r="E1140" s="17">
        <v>0.25</v>
      </c>
      <c r="F1140" t="s">
        <v>1545</v>
      </c>
      <c r="H1140">
        <v>0.25</v>
      </c>
      <c r="Q1140" s="1"/>
      <c r="R1140" s="1">
        <v>1.49</v>
      </c>
    </row>
    <row r="1141" spans="1:18" ht="15.75" customHeight="1" x14ac:dyDescent="0.25">
      <c r="A1141" s="2">
        <v>5443702</v>
      </c>
      <c r="B1141">
        <v>5443702</v>
      </c>
      <c r="C1141" t="str">
        <f>HYPERLINK("https://ois.dk/map/5443702/sfe", "Link")</f>
        <v>Link</v>
      </c>
      <c r="D1141" t="s">
        <v>1544</v>
      </c>
      <c r="E1141" s="17">
        <v>1.5</v>
      </c>
      <c r="F1141" t="s">
        <v>1545</v>
      </c>
      <c r="G1141">
        <v>0.5</v>
      </c>
      <c r="I1141">
        <v>1</v>
      </c>
      <c r="Q1141" s="1"/>
      <c r="R1141" s="1">
        <v>1.5</v>
      </c>
    </row>
    <row r="1142" spans="1:18" ht="15.75" customHeight="1" x14ac:dyDescent="0.25">
      <c r="A1142" s="2">
        <v>5443702</v>
      </c>
      <c r="B1142">
        <v>5443702</v>
      </c>
      <c r="C1142" t="str">
        <f>HYPERLINK("https://ois.dk/map/5443702/sfe", "Link")</f>
        <v>Link</v>
      </c>
      <c r="D1142" t="s">
        <v>1544</v>
      </c>
      <c r="E1142" s="17">
        <v>1.5</v>
      </c>
      <c r="F1142" t="s">
        <v>1545</v>
      </c>
      <c r="G1142">
        <v>0.5</v>
      </c>
      <c r="I1142">
        <v>1</v>
      </c>
      <c r="Q1142" s="1"/>
      <c r="R1142" s="1">
        <v>1.49</v>
      </c>
    </row>
    <row r="1143" spans="1:18" ht="15.75" customHeight="1" x14ac:dyDescent="0.25">
      <c r="A1143" s="2">
        <v>5443704</v>
      </c>
      <c r="B1143">
        <v>5443704</v>
      </c>
      <c r="C1143" t="str">
        <f>HYPERLINK("https://ois.dk/map/5443704/sfe", "Link")</f>
        <v>Link</v>
      </c>
      <c r="D1143" t="s">
        <v>1546</v>
      </c>
      <c r="E1143" s="17">
        <v>5.05</v>
      </c>
      <c r="F1143" t="s">
        <v>1547</v>
      </c>
      <c r="G1143">
        <v>0.5</v>
      </c>
      <c r="H1143">
        <v>0.25</v>
      </c>
      <c r="I1143">
        <v>1</v>
      </c>
      <c r="J1143">
        <v>0.3</v>
      </c>
      <c r="K1143">
        <v>3</v>
      </c>
      <c r="Q1143" s="1"/>
      <c r="R1143" s="1">
        <v>0.89</v>
      </c>
    </row>
    <row r="1144" spans="1:18" ht="15.75" customHeight="1" x14ac:dyDescent="0.25">
      <c r="A1144" s="2">
        <v>5443705</v>
      </c>
      <c r="B1144">
        <v>5443705</v>
      </c>
      <c r="C1144" t="str">
        <f>HYPERLINK("https://ois.dk/map/5443705/sfe", "Link")</f>
        <v>Link</v>
      </c>
      <c r="D1144" t="s">
        <v>1548</v>
      </c>
      <c r="E1144" s="17">
        <v>5.05</v>
      </c>
      <c r="F1144" t="s">
        <v>1549</v>
      </c>
      <c r="G1144">
        <v>0.5</v>
      </c>
      <c r="H1144">
        <v>0.25</v>
      </c>
      <c r="I1144">
        <v>1</v>
      </c>
      <c r="J1144">
        <v>0.3</v>
      </c>
      <c r="K1144">
        <v>3</v>
      </c>
      <c r="Q1144" s="1"/>
      <c r="R1144" s="1">
        <v>1.0900000000000001</v>
      </c>
    </row>
    <row r="1145" spans="1:18" ht="15.75" customHeight="1" x14ac:dyDescent="0.25">
      <c r="A1145" s="2">
        <v>5443707</v>
      </c>
      <c r="B1145">
        <v>5443707</v>
      </c>
      <c r="C1145" t="str">
        <f>HYPERLINK("https://ois.dk/map/5443707/sfe", "Link")</f>
        <v>Link</v>
      </c>
      <c r="D1145" t="s">
        <v>1550</v>
      </c>
      <c r="E1145" s="17">
        <v>0.25</v>
      </c>
      <c r="F1145" t="s">
        <v>1551</v>
      </c>
      <c r="H1145">
        <v>0.25</v>
      </c>
      <c r="Q1145" s="1"/>
      <c r="R1145" s="1">
        <v>1.04</v>
      </c>
    </row>
    <row r="1146" spans="1:18" ht="15.75" customHeight="1" x14ac:dyDescent="0.25">
      <c r="A1146" s="2">
        <v>5443707</v>
      </c>
      <c r="B1146">
        <v>5443707</v>
      </c>
      <c r="C1146" t="str">
        <f>HYPERLINK("https://ois.dk/map/5443707/sfe", "Link")</f>
        <v>Link</v>
      </c>
      <c r="D1146" t="s">
        <v>1550</v>
      </c>
      <c r="E1146" s="17">
        <v>1.5</v>
      </c>
      <c r="F1146" t="s">
        <v>1551</v>
      </c>
      <c r="G1146">
        <v>0.5</v>
      </c>
      <c r="I1146">
        <v>1</v>
      </c>
      <c r="Q1146" s="1"/>
      <c r="R1146" s="1">
        <v>1.05</v>
      </c>
    </row>
    <row r="1147" spans="1:18" ht="15.75" customHeight="1" x14ac:dyDescent="0.25">
      <c r="A1147" s="2">
        <v>5443707</v>
      </c>
      <c r="B1147">
        <v>5443707</v>
      </c>
      <c r="C1147" t="str">
        <f>HYPERLINK("https://ois.dk/map/5443707/sfe", "Link")</f>
        <v>Link</v>
      </c>
      <c r="D1147" t="s">
        <v>1550</v>
      </c>
      <c r="E1147" s="17">
        <v>1.5</v>
      </c>
      <c r="F1147" t="s">
        <v>1551</v>
      </c>
      <c r="G1147">
        <v>0.5</v>
      </c>
      <c r="I1147">
        <v>1</v>
      </c>
      <c r="Q1147" s="1"/>
      <c r="R1147" s="1">
        <v>1.05</v>
      </c>
    </row>
    <row r="1148" spans="1:18" ht="15.75" customHeight="1" x14ac:dyDescent="0.25">
      <c r="A1148" s="2">
        <v>5443708</v>
      </c>
      <c r="B1148">
        <v>5443708</v>
      </c>
      <c r="C1148" t="str">
        <f t="shared" ref="C1148:C1153" si="36">HYPERLINK("https://ois.dk/map/5443708/sfe", "Link")</f>
        <v>Link</v>
      </c>
      <c r="D1148" t="s">
        <v>1552</v>
      </c>
      <c r="E1148" s="17">
        <v>10.55</v>
      </c>
      <c r="F1148" t="s">
        <v>1553</v>
      </c>
      <c r="H1148">
        <v>0.25</v>
      </c>
      <c r="J1148">
        <v>0.3</v>
      </c>
      <c r="K1148">
        <v>10</v>
      </c>
      <c r="Q1148" s="1"/>
      <c r="R1148" s="1">
        <v>1.95</v>
      </c>
    </row>
    <row r="1149" spans="1:18" ht="15.75" customHeight="1" x14ac:dyDescent="0.25">
      <c r="A1149" s="2">
        <v>5443708</v>
      </c>
      <c r="B1149">
        <v>5443708</v>
      </c>
      <c r="C1149" t="str">
        <f t="shared" si="36"/>
        <v>Link</v>
      </c>
      <c r="D1149" t="s">
        <v>1552</v>
      </c>
      <c r="E1149" s="17">
        <v>1.5</v>
      </c>
      <c r="F1149" t="s">
        <v>1553</v>
      </c>
      <c r="G1149">
        <v>0.5</v>
      </c>
      <c r="I1149">
        <v>1</v>
      </c>
      <c r="Q1149" s="1"/>
      <c r="R1149" s="1">
        <v>1.95</v>
      </c>
    </row>
    <row r="1150" spans="1:18" ht="15.75" customHeight="1" x14ac:dyDescent="0.25">
      <c r="A1150" s="2">
        <v>5443708</v>
      </c>
      <c r="B1150">
        <v>5443708</v>
      </c>
      <c r="C1150" t="str">
        <f t="shared" si="36"/>
        <v>Link</v>
      </c>
      <c r="D1150" t="s">
        <v>1552</v>
      </c>
      <c r="E1150" s="17">
        <v>1.5</v>
      </c>
      <c r="F1150" t="s">
        <v>1553</v>
      </c>
      <c r="G1150">
        <v>0.5</v>
      </c>
      <c r="I1150">
        <v>1</v>
      </c>
      <c r="Q1150" s="1"/>
      <c r="R1150" s="1">
        <v>2.02</v>
      </c>
    </row>
    <row r="1151" spans="1:18" ht="15.75" customHeight="1" x14ac:dyDescent="0.25">
      <c r="A1151" s="2">
        <v>5443708</v>
      </c>
      <c r="B1151">
        <v>5443708</v>
      </c>
      <c r="C1151" t="str">
        <f t="shared" si="36"/>
        <v>Link</v>
      </c>
      <c r="D1151" t="s">
        <v>1552</v>
      </c>
      <c r="E1151" s="17">
        <v>0.5</v>
      </c>
      <c r="F1151" t="s">
        <v>1553</v>
      </c>
      <c r="G1151">
        <v>0.5</v>
      </c>
      <c r="Q1151" s="1"/>
      <c r="R1151" s="1"/>
    </row>
    <row r="1152" spans="1:18" ht="15.75" customHeight="1" x14ac:dyDescent="0.25">
      <c r="A1152" s="2">
        <v>5443708</v>
      </c>
      <c r="B1152">
        <v>5443708</v>
      </c>
      <c r="C1152" t="str">
        <f t="shared" si="36"/>
        <v>Link</v>
      </c>
      <c r="D1152" t="s">
        <v>1552</v>
      </c>
      <c r="E1152" s="17">
        <v>1.5</v>
      </c>
      <c r="F1152" t="s">
        <v>1553</v>
      </c>
      <c r="G1152">
        <v>0.5</v>
      </c>
      <c r="I1152">
        <v>1</v>
      </c>
      <c r="Q1152" s="1"/>
      <c r="R1152" s="1">
        <v>2.14</v>
      </c>
    </row>
    <row r="1153" spans="1:18" ht="15.75" customHeight="1" x14ac:dyDescent="0.25">
      <c r="A1153" s="2">
        <v>5443708</v>
      </c>
      <c r="B1153">
        <v>5443708</v>
      </c>
      <c r="C1153" t="str">
        <f t="shared" si="36"/>
        <v>Link</v>
      </c>
      <c r="D1153" t="s">
        <v>1552</v>
      </c>
      <c r="E1153" s="17">
        <v>0.5</v>
      </c>
      <c r="F1153" t="s">
        <v>1553</v>
      </c>
      <c r="G1153">
        <v>0.5</v>
      </c>
      <c r="Q1153" s="1"/>
      <c r="R1153" s="1"/>
    </row>
    <row r="1154" spans="1:18" ht="15.75" customHeight="1" x14ac:dyDescent="0.25">
      <c r="A1154" s="2">
        <v>5443709</v>
      </c>
      <c r="B1154">
        <v>5443709</v>
      </c>
      <c r="C1154" t="str">
        <f>HYPERLINK("https://ois.dk/map/5443709/sfe", "Link")</f>
        <v>Link</v>
      </c>
      <c r="D1154" t="s">
        <v>1554</v>
      </c>
      <c r="E1154" s="17">
        <v>1.75</v>
      </c>
      <c r="F1154" t="s">
        <v>1555</v>
      </c>
      <c r="G1154">
        <v>0.5</v>
      </c>
      <c r="H1154">
        <v>0.25</v>
      </c>
      <c r="I1154">
        <v>1</v>
      </c>
      <c r="Q1154" s="1"/>
      <c r="R1154" s="1">
        <v>1.83</v>
      </c>
    </row>
    <row r="1155" spans="1:18" ht="15.75" customHeight="1" x14ac:dyDescent="0.25">
      <c r="A1155" s="2">
        <v>5443710</v>
      </c>
      <c r="B1155">
        <v>5443710</v>
      </c>
      <c r="C1155" t="str">
        <f>HYPERLINK("https://ois.dk/map/5443710/sfe", "Link")</f>
        <v>Link</v>
      </c>
      <c r="D1155" t="s">
        <v>1556</v>
      </c>
      <c r="E1155" s="17">
        <v>1.25</v>
      </c>
      <c r="F1155" t="s">
        <v>1557</v>
      </c>
      <c r="H1155">
        <v>0.25</v>
      </c>
      <c r="K1155">
        <v>1</v>
      </c>
      <c r="Q1155" s="1"/>
      <c r="R1155" s="1">
        <v>1.1200000000000001</v>
      </c>
    </row>
    <row r="1156" spans="1:18" ht="15.75" customHeight="1" x14ac:dyDescent="0.25">
      <c r="A1156" s="2">
        <v>5443710</v>
      </c>
      <c r="B1156">
        <v>5443710</v>
      </c>
      <c r="C1156" t="str">
        <f>HYPERLINK("https://ois.dk/map/5443710/sfe", "Link")</f>
        <v>Link</v>
      </c>
      <c r="D1156" t="s">
        <v>1556</v>
      </c>
      <c r="E1156" s="17">
        <v>1.5</v>
      </c>
      <c r="F1156" t="s">
        <v>1557</v>
      </c>
      <c r="G1156">
        <v>0.5</v>
      </c>
      <c r="I1156">
        <v>1</v>
      </c>
      <c r="Q1156" s="1"/>
      <c r="R1156" s="1">
        <v>1.1200000000000001</v>
      </c>
    </row>
    <row r="1157" spans="1:18" ht="15.75" customHeight="1" x14ac:dyDescent="0.25">
      <c r="A1157" s="2">
        <v>5443710</v>
      </c>
      <c r="B1157">
        <v>5443710</v>
      </c>
      <c r="C1157" t="str">
        <f>HYPERLINK("https://ois.dk/map/5443710/sfe", "Link")</f>
        <v>Link</v>
      </c>
      <c r="D1157" t="s">
        <v>1556</v>
      </c>
      <c r="E1157" s="17">
        <v>1.5</v>
      </c>
      <c r="F1157" t="s">
        <v>1557</v>
      </c>
      <c r="G1157">
        <v>0.5</v>
      </c>
      <c r="I1157">
        <v>1</v>
      </c>
      <c r="Q1157" s="1"/>
      <c r="R1157" s="1">
        <v>1.17</v>
      </c>
    </row>
    <row r="1158" spans="1:18" ht="15.75" customHeight="1" x14ac:dyDescent="0.25">
      <c r="A1158" s="2">
        <v>5443712</v>
      </c>
      <c r="B1158">
        <v>5443712</v>
      </c>
      <c r="C1158" t="str">
        <f>HYPERLINK("https://ois.dk/map/5443712/sfe", "Link")</f>
        <v>Link</v>
      </c>
      <c r="D1158" t="s">
        <v>1558</v>
      </c>
      <c r="E1158" s="17">
        <v>1.75</v>
      </c>
      <c r="F1158" t="s">
        <v>1559</v>
      </c>
      <c r="G1158">
        <v>0.5</v>
      </c>
      <c r="H1158">
        <v>0.25</v>
      </c>
      <c r="I1158">
        <v>1</v>
      </c>
      <c r="Q1158" s="1"/>
      <c r="R1158" s="1">
        <v>1.99</v>
      </c>
    </row>
    <row r="1159" spans="1:18" ht="15.75" customHeight="1" x14ac:dyDescent="0.25">
      <c r="A1159" s="2">
        <v>5443714</v>
      </c>
      <c r="B1159">
        <v>5443714</v>
      </c>
      <c r="C1159" t="str">
        <f>HYPERLINK("https://ois.dk/map/5443714/sfe", "Link")</f>
        <v>Link</v>
      </c>
      <c r="D1159" t="s">
        <v>272</v>
      </c>
      <c r="E1159" s="17">
        <v>0.75</v>
      </c>
      <c r="F1159" t="s">
        <v>1560</v>
      </c>
      <c r="G1159">
        <v>0.5</v>
      </c>
      <c r="H1159">
        <v>0.25</v>
      </c>
      <c r="Q1159" s="1"/>
      <c r="R1159" s="1"/>
    </row>
    <row r="1160" spans="1:18" ht="15.75" customHeight="1" x14ac:dyDescent="0.25">
      <c r="A1160" s="2">
        <v>5443716</v>
      </c>
      <c r="B1160">
        <v>5443716</v>
      </c>
      <c r="C1160" t="str">
        <f>HYPERLINK("https://ois.dk/map/5443716/sfe", "Link")</f>
        <v>Link</v>
      </c>
      <c r="D1160" t="s">
        <v>276</v>
      </c>
      <c r="E1160" s="17">
        <v>0.54200000000000004</v>
      </c>
      <c r="F1160" t="s">
        <v>1561</v>
      </c>
      <c r="G1160">
        <v>0.5</v>
      </c>
      <c r="M1160">
        <v>4.2000000000000003E-2</v>
      </c>
      <c r="Q1160" s="1"/>
      <c r="R1160" s="1"/>
    </row>
    <row r="1161" spans="1:18" ht="15.75" customHeight="1" x14ac:dyDescent="0.25">
      <c r="A1161" s="2">
        <v>5443719</v>
      </c>
      <c r="B1161">
        <v>5443719</v>
      </c>
      <c r="C1161" t="str">
        <f>HYPERLINK("https://ois.dk/map/5443719/sfe", "Link")</f>
        <v>Link</v>
      </c>
      <c r="D1161" t="s">
        <v>1562</v>
      </c>
      <c r="E1161" s="17">
        <v>0.5</v>
      </c>
      <c r="F1161" t="s">
        <v>1563</v>
      </c>
      <c r="G1161">
        <v>0.5</v>
      </c>
      <c r="Q1161" s="1"/>
      <c r="R1161" s="1"/>
    </row>
    <row r="1162" spans="1:18" ht="15.75" customHeight="1" x14ac:dyDescent="0.25">
      <c r="A1162" s="2">
        <v>5443721</v>
      </c>
      <c r="B1162">
        <v>5443721</v>
      </c>
      <c r="C1162" t="str">
        <f>HYPERLINK("https://ois.dk/map/5443721/sfe", "Link")</f>
        <v>Link</v>
      </c>
      <c r="D1162" t="s">
        <v>1564</v>
      </c>
      <c r="E1162" s="17">
        <v>0.5</v>
      </c>
      <c r="F1162" t="s">
        <v>1565</v>
      </c>
      <c r="G1162">
        <v>0.5</v>
      </c>
      <c r="Q1162" s="1"/>
      <c r="R1162" s="1"/>
    </row>
    <row r="1163" spans="1:18" ht="15.75" customHeight="1" x14ac:dyDescent="0.25">
      <c r="A1163" s="2">
        <v>5443721</v>
      </c>
      <c r="B1163">
        <v>5443721</v>
      </c>
      <c r="C1163" t="str">
        <f>HYPERLINK("https://ois.dk/map/5443721/sfe", "Link")</f>
        <v>Link</v>
      </c>
      <c r="D1163" t="s">
        <v>1564</v>
      </c>
      <c r="E1163" s="17">
        <v>0.5</v>
      </c>
      <c r="F1163" t="s">
        <v>1566</v>
      </c>
      <c r="G1163">
        <v>0.5</v>
      </c>
      <c r="Q1163" s="1"/>
      <c r="R1163" s="1"/>
    </row>
    <row r="1164" spans="1:18" ht="15.75" customHeight="1" x14ac:dyDescent="0.25">
      <c r="A1164" s="2">
        <v>5443722</v>
      </c>
      <c r="B1164">
        <v>5443722</v>
      </c>
      <c r="C1164" t="str">
        <f>HYPERLINK("https://ois.dk/map/5443722/sfe", "Link")</f>
        <v>Link</v>
      </c>
      <c r="D1164" t="s">
        <v>1567</v>
      </c>
      <c r="E1164" s="17">
        <v>0.5</v>
      </c>
      <c r="F1164" t="s">
        <v>1568</v>
      </c>
      <c r="G1164">
        <v>0.5</v>
      </c>
      <c r="Q1164" s="1"/>
      <c r="R1164" s="1"/>
    </row>
    <row r="1165" spans="1:18" ht="15.75" customHeight="1" x14ac:dyDescent="0.25">
      <c r="A1165" s="2">
        <v>5443724</v>
      </c>
      <c r="B1165">
        <v>5443724</v>
      </c>
      <c r="C1165" t="str">
        <f>HYPERLINK("https://ois.dk/map/5443724/sfe", "Link")</f>
        <v>Link</v>
      </c>
      <c r="D1165" t="s">
        <v>1569</v>
      </c>
      <c r="E1165" s="17">
        <v>0.5</v>
      </c>
      <c r="F1165" t="s">
        <v>1570</v>
      </c>
      <c r="G1165">
        <v>0.5</v>
      </c>
      <c r="Q1165" s="1"/>
      <c r="R1165" s="1"/>
    </row>
    <row r="1166" spans="1:18" ht="15.75" customHeight="1" x14ac:dyDescent="0.25">
      <c r="A1166" s="2">
        <v>5443725</v>
      </c>
      <c r="B1166">
        <v>5443725</v>
      </c>
      <c r="C1166" t="str">
        <f>HYPERLINK("https://ois.dk/map/5443725/sfe", "Link")</f>
        <v>Link</v>
      </c>
      <c r="D1166" t="s">
        <v>1571</v>
      </c>
      <c r="E1166" s="17">
        <v>0.5</v>
      </c>
      <c r="F1166" t="s">
        <v>1572</v>
      </c>
      <c r="G1166">
        <v>0.5</v>
      </c>
      <c r="Q1166" s="1"/>
      <c r="R1166" s="1"/>
    </row>
    <row r="1167" spans="1:18" ht="15.75" customHeight="1" x14ac:dyDescent="0.25">
      <c r="A1167" s="2">
        <v>5443727</v>
      </c>
      <c r="B1167">
        <v>5443727</v>
      </c>
      <c r="C1167" t="str">
        <f>HYPERLINK("https://ois.dk/map/5443727/sfe", "Link")</f>
        <v>Link</v>
      </c>
      <c r="D1167" t="s">
        <v>1573</v>
      </c>
      <c r="E1167" s="17">
        <v>0.5</v>
      </c>
      <c r="F1167" t="s">
        <v>1574</v>
      </c>
      <c r="G1167">
        <v>0.5</v>
      </c>
      <c r="Q1167" s="1"/>
      <c r="R1167" s="1"/>
    </row>
    <row r="1168" spans="1:18" ht="15.75" customHeight="1" x14ac:dyDescent="0.25">
      <c r="A1168" s="2">
        <v>5443728</v>
      </c>
      <c r="B1168">
        <v>5443728</v>
      </c>
      <c r="C1168" t="str">
        <f>HYPERLINK("https://ois.dk/map/5443728/sfe", "Link")</f>
        <v>Link</v>
      </c>
      <c r="D1168" t="s">
        <v>1575</v>
      </c>
      <c r="E1168" s="17">
        <v>0.5</v>
      </c>
      <c r="F1168" t="s">
        <v>1576</v>
      </c>
      <c r="G1168">
        <v>0.5</v>
      </c>
      <c r="Q1168" s="1"/>
      <c r="R1168" s="1"/>
    </row>
    <row r="1169" spans="1:18" ht="15.75" customHeight="1" x14ac:dyDescent="0.25">
      <c r="A1169" s="2">
        <v>5443729</v>
      </c>
      <c r="B1169">
        <v>5443729</v>
      </c>
      <c r="C1169" t="str">
        <f>HYPERLINK("https://ois.dk/map/5443729/sfe", "Link")</f>
        <v>Link</v>
      </c>
      <c r="D1169" t="s">
        <v>1577</v>
      </c>
      <c r="E1169" s="17">
        <v>0.5</v>
      </c>
      <c r="F1169" t="s">
        <v>1578</v>
      </c>
      <c r="G1169">
        <v>0.5</v>
      </c>
      <c r="Q1169" s="1"/>
      <c r="R1169" s="1"/>
    </row>
    <row r="1170" spans="1:18" ht="15.75" customHeight="1" x14ac:dyDescent="0.25">
      <c r="A1170" s="2">
        <v>5443730</v>
      </c>
      <c r="B1170">
        <v>5443730</v>
      </c>
      <c r="C1170" t="str">
        <f>HYPERLINK("https://ois.dk/map/5443730/sfe", "Link")</f>
        <v>Link</v>
      </c>
      <c r="D1170" t="s">
        <v>1579</v>
      </c>
      <c r="E1170" s="17">
        <v>0.5</v>
      </c>
      <c r="F1170" t="s">
        <v>1580</v>
      </c>
      <c r="G1170">
        <v>0.5</v>
      </c>
      <c r="Q1170" s="1"/>
      <c r="R1170" s="1"/>
    </row>
    <row r="1171" spans="1:18" ht="15.75" customHeight="1" x14ac:dyDescent="0.25">
      <c r="A1171" s="2">
        <v>5443731</v>
      </c>
      <c r="B1171">
        <v>5443731</v>
      </c>
      <c r="C1171" t="str">
        <f>HYPERLINK("https://ois.dk/map/5443731/sfe", "Link")</f>
        <v>Link</v>
      </c>
      <c r="D1171" t="s">
        <v>1581</v>
      </c>
      <c r="E1171" s="17">
        <v>0.5</v>
      </c>
      <c r="F1171" t="s">
        <v>1582</v>
      </c>
      <c r="G1171">
        <v>0.5</v>
      </c>
      <c r="Q1171" s="1"/>
      <c r="R1171" s="1"/>
    </row>
    <row r="1172" spans="1:18" ht="15.75" customHeight="1" x14ac:dyDescent="0.25">
      <c r="A1172" s="2">
        <v>5443732</v>
      </c>
      <c r="B1172">
        <v>5443732</v>
      </c>
      <c r="C1172" t="str">
        <f>HYPERLINK("https://ois.dk/map/5443732/sfe", "Link")</f>
        <v>Link</v>
      </c>
      <c r="D1172" t="s">
        <v>1583</v>
      </c>
      <c r="E1172" s="17">
        <v>0.5</v>
      </c>
      <c r="F1172" t="s">
        <v>1584</v>
      </c>
      <c r="G1172">
        <v>0.5</v>
      </c>
      <c r="Q1172" s="1"/>
      <c r="R1172" s="1"/>
    </row>
    <row r="1173" spans="1:18" ht="15.75" customHeight="1" x14ac:dyDescent="0.25">
      <c r="A1173" s="2">
        <v>5443733</v>
      </c>
      <c r="B1173">
        <v>5443733</v>
      </c>
      <c r="C1173" t="str">
        <f>HYPERLINK("https://ois.dk/map/5443733/sfe", "Link")</f>
        <v>Link</v>
      </c>
      <c r="D1173" t="s">
        <v>1585</v>
      </c>
      <c r="E1173" s="17">
        <v>0.5</v>
      </c>
      <c r="G1173">
        <v>0.5</v>
      </c>
      <c r="Q1173" s="1"/>
      <c r="R1173" s="1"/>
    </row>
    <row r="1174" spans="1:18" ht="15.75" customHeight="1" x14ac:dyDescent="0.25">
      <c r="A1174" s="2">
        <v>5443734</v>
      </c>
      <c r="B1174">
        <v>5443734</v>
      </c>
      <c r="C1174" t="str">
        <f>HYPERLINK("https://ois.dk/map/5443734/sfe", "Link")</f>
        <v>Link</v>
      </c>
      <c r="D1174" t="s">
        <v>1586</v>
      </c>
      <c r="E1174" s="17">
        <v>0.5</v>
      </c>
      <c r="F1174" t="s">
        <v>1587</v>
      </c>
      <c r="G1174">
        <v>0.5</v>
      </c>
      <c r="Q1174" s="1"/>
      <c r="R1174" s="1"/>
    </row>
    <row r="1175" spans="1:18" ht="15.75" customHeight="1" x14ac:dyDescent="0.25">
      <c r="A1175" s="2">
        <v>5443735</v>
      </c>
      <c r="B1175">
        <v>5443735</v>
      </c>
      <c r="C1175" t="str">
        <f>HYPERLINK("https://ois.dk/map/5443735/sfe", "Link")</f>
        <v>Link</v>
      </c>
      <c r="D1175" t="s">
        <v>1588</v>
      </c>
      <c r="E1175" s="17">
        <v>0.5</v>
      </c>
      <c r="F1175" t="s">
        <v>1589</v>
      </c>
      <c r="G1175">
        <v>0.5</v>
      </c>
      <c r="Q1175" s="1"/>
      <c r="R1175" s="1"/>
    </row>
    <row r="1176" spans="1:18" ht="15.75" customHeight="1" x14ac:dyDescent="0.25">
      <c r="A1176" s="2">
        <v>5443737</v>
      </c>
      <c r="B1176">
        <v>5443737</v>
      </c>
      <c r="C1176" t="str">
        <f>HYPERLINK("https://ois.dk/map/5443737/sfe", "Link")</f>
        <v>Link</v>
      </c>
      <c r="D1176" t="s">
        <v>1590</v>
      </c>
      <c r="E1176" s="17">
        <v>0.5</v>
      </c>
      <c r="F1176" t="s">
        <v>1591</v>
      </c>
      <c r="G1176">
        <v>0.5</v>
      </c>
      <c r="Q1176" s="1"/>
      <c r="R1176" s="1"/>
    </row>
    <row r="1177" spans="1:18" ht="15.75" customHeight="1" x14ac:dyDescent="0.25">
      <c r="A1177" s="2">
        <v>5443738</v>
      </c>
      <c r="B1177">
        <v>5443738</v>
      </c>
      <c r="C1177" t="str">
        <f>HYPERLINK("https://ois.dk/map/5443738/sfe", "Link")</f>
        <v>Link</v>
      </c>
      <c r="D1177" t="s">
        <v>1592</v>
      </c>
      <c r="E1177" s="17">
        <v>0.5</v>
      </c>
      <c r="F1177" t="s">
        <v>1593</v>
      </c>
      <c r="G1177">
        <v>0.5</v>
      </c>
      <c r="Q1177" s="1"/>
      <c r="R1177" s="1"/>
    </row>
    <row r="1178" spans="1:18" ht="15.75" customHeight="1" x14ac:dyDescent="0.25">
      <c r="A1178" s="2">
        <v>5443739</v>
      </c>
      <c r="B1178">
        <v>5443739</v>
      </c>
      <c r="C1178" t="str">
        <f>HYPERLINK("https://ois.dk/map/5443739/sfe", "Link")</f>
        <v>Link</v>
      </c>
      <c r="D1178" t="s">
        <v>1594</v>
      </c>
      <c r="E1178" s="17">
        <v>0.5</v>
      </c>
      <c r="F1178" t="s">
        <v>1595</v>
      </c>
      <c r="G1178">
        <v>0.5</v>
      </c>
      <c r="Q1178" s="1"/>
      <c r="R1178" s="1"/>
    </row>
    <row r="1179" spans="1:18" ht="15.75" customHeight="1" x14ac:dyDescent="0.25">
      <c r="A1179" s="2">
        <v>5443740</v>
      </c>
      <c r="B1179">
        <v>5443740</v>
      </c>
      <c r="C1179" t="str">
        <f>HYPERLINK("https://ois.dk/map/5443740/sfe", "Link")</f>
        <v>Link</v>
      </c>
      <c r="D1179" t="s">
        <v>1596</v>
      </c>
      <c r="E1179" s="17">
        <v>0.5</v>
      </c>
      <c r="F1179" t="s">
        <v>1597</v>
      </c>
      <c r="G1179">
        <v>0.5</v>
      </c>
      <c r="Q1179" s="1"/>
      <c r="R1179" s="1"/>
    </row>
    <row r="1180" spans="1:18" ht="15.75" customHeight="1" x14ac:dyDescent="0.25">
      <c r="A1180" s="2">
        <v>5443741</v>
      </c>
      <c r="B1180">
        <v>5443741</v>
      </c>
      <c r="C1180" t="str">
        <f>HYPERLINK("https://ois.dk/map/5443741/sfe", "Link")</f>
        <v>Link</v>
      </c>
      <c r="D1180" t="s">
        <v>1598</v>
      </c>
      <c r="E1180" s="17">
        <v>0.5</v>
      </c>
      <c r="F1180" t="s">
        <v>1599</v>
      </c>
      <c r="G1180">
        <v>0.5</v>
      </c>
      <c r="Q1180" s="1"/>
      <c r="R1180" s="1"/>
    </row>
    <row r="1181" spans="1:18" ht="15.75" customHeight="1" x14ac:dyDescent="0.25">
      <c r="A1181" s="2">
        <v>5443742</v>
      </c>
      <c r="B1181">
        <v>5443742</v>
      </c>
      <c r="C1181" t="str">
        <f t="shared" ref="C1181:C1186" si="37">HYPERLINK("https://ois.dk/map/5443742/sfe", "Link")</f>
        <v>Link</v>
      </c>
      <c r="D1181" t="s">
        <v>1600</v>
      </c>
      <c r="E1181" s="17">
        <v>0.5</v>
      </c>
      <c r="F1181" t="s">
        <v>1601</v>
      </c>
      <c r="G1181">
        <v>0.5</v>
      </c>
      <c r="Q1181" s="1"/>
      <c r="R1181" s="1"/>
    </row>
    <row r="1182" spans="1:18" ht="15.75" customHeight="1" x14ac:dyDescent="0.25">
      <c r="A1182" s="2">
        <v>5443742</v>
      </c>
      <c r="B1182">
        <v>5443742</v>
      </c>
      <c r="C1182" t="str">
        <f t="shared" si="37"/>
        <v>Link</v>
      </c>
      <c r="D1182" t="s">
        <v>1600</v>
      </c>
      <c r="E1182" s="17">
        <v>0.5</v>
      </c>
      <c r="F1182" t="s">
        <v>1602</v>
      </c>
      <c r="G1182">
        <v>0.5</v>
      </c>
      <c r="Q1182" s="1"/>
      <c r="R1182" s="1"/>
    </row>
    <row r="1183" spans="1:18" ht="15.75" customHeight="1" x14ac:dyDescent="0.25">
      <c r="A1183" s="2">
        <v>5443742</v>
      </c>
      <c r="B1183">
        <v>5443742</v>
      </c>
      <c r="C1183" t="str">
        <f t="shared" si="37"/>
        <v>Link</v>
      </c>
      <c r="D1183" t="s">
        <v>1600</v>
      </c>
      <c r="E1183" s="17">
        <v>0.5</v>
      </c>
      <c r="F1183" t="s">
        <v>1603</v>
      </c>
      <c r="G1183">
        <v>0.5</v>
      </c>
      <c r="Q1183" s="1"/>
      <c r="R1183" s="1"/>
    </row>
    <row r="1184" spans="1:18" ht="15.75" customHeight="1" x14ac:dyDescent="0.25">
      <c r="A1184" s="2">
        <v>5443742</v>
      </c>
      <c r="B1184">
        <v>5443742</v>
      </c>
      <c r="C1184" t="str">
        <f t="shared" si="37"/>
        <v>Link</v>
      </c>
      <c r="D1184" t="s">
        <v>1600</v>
      </c>
      <c r="E1184" s="17">
        <v>0.5</v>
      </c>
      <c r="F1184" t="s">
        <v>1604</v>
      </c>
      <c r="G1184">
        <v>0.5</v>
      </c>
      <c r="Q1184" s="1"/>
      <c r="R1184" s="1"/>
    </row>
    <row r="1185" spans="1:18" ht="15.75" customHeight="1" x14ac:dyDescent="0.25">
      <c r="A1185" s="2">
        <v>5443742</v>
      </c>
      <c r="B1185">
        <v>5443742</v>
      </c>
      <c r="C1185" t="str">
        <f t="shared" si="37"/>
        <v>Link</v>
      </c>
      <c r="D1185" t="s">
        <v>1600</v>
      </c>
      <c r="E1185" s="17">
        <v>0.5</v>
      </c>
      <c r="F1185" t="s">
        <v>1605</v>
      </c>
      <c r="G1185">
        <v>0.5</v>
      </c>
      <c r="Q1185" s="1"/>
      <c r="R1185" s="1"/>
    </row>
    <row r="1186" spans="1:18" ht="15.75" customHeight="1" x14ac:dyDescent="0.25">
      <c r="A1186" s="2">
        <v>5443742</v>
      </c>
      <c r="B1186">
        <v>5443742</v>
      </c>
      <c r="C1186" t="str">
        <f t="shared" si="37"/>
        <v>Link</v>
      </c>
      <c r="D1186" t="s">
        <v>1600</v>
      </c>
      <c r="E1186" s="17">
        <v>0.5</v>
      </c>
      <c r="F1186" t="s">
        <v>1606</v>
      </c>
      <c r="G1186">
        <v>0.5</v>
      </c>
      <c r="Q1186" s="1"/>
      <c r="R1186" s="1"/>
    </row>
    <row r="1187" spans="1:18" ht="15.75" customHeight="1" x14ac:dyDescent="0.25">
      <c r="A1187" s="2">
        <v>5443745</v>
      </c>
      <c r="B1187">
        <v>5443745</v>
      </c>
      <c r="C1187" t="str">
        <f>HYPERLINK("https://ois.dk/map/5443745/sfe", "Link")</f>
        <v>Link</v>
      </c>
      <c r="D1187" t="s">
        <v>1607</v>
      </c>
      <c r="E1187" s="17">
        <v>0.5</v>
      </c>
      <c r="F1187" t="s">
        <v>1608</v>
      </c>
      <c r="G1187">
        <v>0.5</v>
      </c>
      <c r="Q1187" s="1"/>
      <c r="R1187" s="1"/>
    </row>
    <row r="1188" spans="1:18" ht="15.75" customHeight="1" x14ac:dyDescent="0.25">
      <c r="A1188" s="2">
        <v>5443746</v>
      </c>
      <c r="B1188">
        <v>5443746</v>
      </c>
      <c r="C1188" t="str">
        <f>HYPERLINK("https://ois.dk/map/5443746/sfe", "Link")</f>
        <v>Link</v>
      </c>
      <c r="D1188" t="s">
        <v>1609</v>
      </c>
      <c r="E1188" s="17">
        <v>0.5</v>
      </c>
      <c r="F1188" t="s">
        <v>1610</v>
      </c>
      <c r="G1188">
        <v>0.5</v>
      </c>
      <c r="Q1188" s="1"/>
      <c r="R1188" s="1"/>
    </row>
    <row r="1189" spans="1:18" ht="15.75" customHeight="1" x14ac:dyDescent="0.25">
      <c r="A1189" s="2">
        <v>5443747</v>
      </c>
      <c r="B1189">
        <v>5443747</v>
      </c>
      <c r="C1189" t="str">
        <f>HYPERLINK("https://ois.dk/map/5443747/sfe", "Link")</f>
        <v>Link</v>
      </c>
      <c r="D1189" t="s">
        <v>1611</v>
      </c>
      <c r="E1189" s="17">
        <v>0.5</v>
      </c>
      <c r="F1189" t="s">
        <v>1612</v>
      </c>
      <c r="G1189">
        <v>0.5</v>
      </c>
      <c r="Q1189" s="1"/>
      <c r="R1189" s="1"/>
    </row>
    <row r="1190" spans="1:18" ht="15.75" customHeight="1" x14ac:dyDescent="0.25">
      <c r="A1190" s="2">
        <v>5443748</v>
      </c>
      <c r="B1190">
        <v>5443748</v>
      </c>
      <c r="C1190" t="str">
        <f>HYPERLINK("https://ois.dk/map/5443748/sfe", "Link")</f>
        <v>Link</v>
      </c>
      <c r="D1190" t="s">
        <v>1613</v>
      </c>
      <c r="E1190" s="17">
        <v>0.5</v>
      </c>
      <c r="F1190" t="s">
        <v>1614</v>
      </c>
      <c r="G1190">
        <v>0.5</v>
      </c>
      <c r="Q1190" s="1"/>
      <c r="R1190" s="1"/>
    </row>
    <row r="1191" spans="1:18" ht="15.75" customHeight="1" x14ac:dyDescent="0.25">
      <c r="A1191" s="2">
        <v>5443749</v>
      </c>
      <c r="B1191">
        <v>5443749</v>
      </c>
      <c r="C1191" t="str">
        <f>HYPERLINK("https://ois.dk/map/5443749/sfe", "Link")</f>
        <v>Link</v>
      </c>
      <c r="D1191" t="s">
        <v>1615</v>
      </c>
      <c r="E1191" s="17">
        <v>0.5</v>
      </c>
      <c r="F1191" t="s">
        <v>1616</v>
      </c>
      <c r="G1191">
        <v>0.5</v>
      </c>
      <c r="Q1191" s="1"/>
      <c r="R1191" s="1"/>
    </row>
    <row r="1192" spans="1:18" ht="15.75" customHeight="1" x14ac:dyDescent="0.25">
      <c r="A1192" s="2">
        <v>5443750</v>
      </c>
      <c r="B1192">
        <v>5443750</v>
      </c>
      <c r="C1192" t="str">
        <f>HYPERLINK("https://ois.dk/map/5443750/sfe", "Link")</f>
        <v>Link</v>
      </c>
      <c r="D1192" t="s">
        <v>1617</v>
      </c>
      <c r="E1192" s="17">
        <v>0.5</v>
      </c>
      <c r="F1192" t="s">
        <v>1618</v>
      </c>
      <c r="G1192">
        <v>0.5</v>
      </c>
      <c r="Q1192" s="1"/>
      <c r="R1192" s="1"/>
    </row>
    <row r="1193" spans="1:18" ht="15.75" customHeight="1" x14ac:dyDescent="0.25">
      <c r="A1193" s="2">
        <v>5443751</v>
      </c>
      <c r="B1193">
        <v>5443751</v>
      </c>
      <c r="C1193" t="str">
        <f>HYPERLINK("https://ois.dk/map/5443751/sfe", "Link")</f>
        <v>Link</v>
      </c>
      <c r="D1193" t="s">
        <v>1619</v>
      </c>
      <c r="E1193" s="17">
        <v>0.5</v>
      </c>
      <c r="F1193" t="s">
        <v>1620</v>
      </c>
      <c r="G1193">
        <v>0.5</v>
      </c>
      <c r="Q1193" s="1"/>
      <c r="R1193" s="1"/>
    </row>
    <row r="1194" spans="1:18" ht="15.75" customHeight="1" x14ac:dyDescent="0.25">
      <c r="A1194" s="2">
        <v>5443752</v>
      </c>
      <c r="B1194">
        <v>5443752</v>
      </c>
      <c r="C1194" t="str">
        <f>HYPERLINK("https://ois.dk/map/5443752/sfe", "Link")</f>
        <v>Link</v>
      </c>
      <c r="D1194" t="s">
        <v>1621</v>
      </c>
      <c r="E1194" s="17">
        <v>0.5</v>
      </c>
      <c r="F1194" t="s">
        <v>1622</v>
      </c>
      <c r="G1194">
        <v>0.5</v>
      </c>
      <c r="Q1194" s="1"/>
      <c r="R1194" s="1"/>
    </row>
    <row r="1195" spans="1:18" ht="15.75" customHeight="1" x14ac:dyDescent="0.25">
      <c r="A1195" s="2">
        <v>5443755</v>
      </c>
      <c r="B1195">
        <v>5443755</v>
      </c>
      <c r="C1195" t="str">
        <f>HYPERLINK("https://ois.dk/map/5443755/sfe", "Link")</f>
        <v>Link</v>
      </c>
      <c r="D1195" t="s">
        <v>156</v>
      </c>
      <c r="E1195" s="17">
        <v>0.5</v>
      </c>
      <c r="F1195" t="s">
        <v>1623</v>
      </c>
      <c r="G1195">
        <v>0.5</v>
      </c>
      <c r="Q1195" s="1"/>
      <c r="R1195" s="1"/>
    </row>
    <row r="1196" spans="1:18" ht="15.75" customHeight="1" x14ac:dyDescent="0.25">
      <c r="A1196" s="2">
        <v>5443755</v>
      </c>
      <c r="B1196">
        <v>5443755</v>
      </c>
      <c r="C1196" t="str">
        <f>HYPERLINK("https://ois.dk/map/5443755/sfe", "Link")</f>
        <v>Link</v>
      </c>
      <c r="D1196" t="s">
        <v>156</v>
      </c>
      <c r="E1196" s="17">
        <v>0.5</v>
      </c>
      <c r="F1196" t="s">
        <v>1624</v>
      </c>
      <c r="G1196">
        <v>0.5</v>
      </c>
      <c r="Q1196" s="1"/>
      <c r="R1196" s="1"/>
    </row>
    <row r="1197" spans="1:18" ht="15.75" customHeight="1" x14ac:dyDescent="0.25">
      <c r="A1197" s="2">
        <v>5443755</v>
      </c>
      <c r="B1197">
        <v>5443755</v>
      </c>
      <c r="C1197" t="str">
        <f>HYPERLINK("https://ois.dk/map/5443755/sfe", "Link")</f>
        <v>Link</v>
      </c>
      <c r="D1197" t="s">
        <v>156</v>
      </c>
      <c r="E1197" s="17">
        <v>0.5</v>
      </c>
      <c r="F1197" t="s">
        <v>1625</v>
      </c>
      <c r="G1197">
        <v>0.5</v>
      </c>
      <c r="Q1197" s="1"/>
      <c r="R1197" s="1"/>
    </row>
    <row r="1198" spans="1:18" ht="15.75" customHeight="1" x14ac:dyDescent="0.25">
      <c r="A1198" s="2">
        <v>5443755</v>
      </c>
      <c r="B1198">
        <v>5443755</v>
      </c>
      <c r="C1198" t="str">
        <f>HYPERLINK("https://ois.dk/map/5443755/sfe", "Link")</f>
        <v>Link</v>
      </c>
      <c r="D1198" t="s">
        <v>156</v>
      </c>
      <c r="E1198" s="17">
        <v>0.5</v>
      </c>
      <c r="F1198" t="s">
        <v>1626</v>
      </c>
      <c r="G1198">
        <v>0.5</v>
      </c>
      <c r="Q1198" s="1"/>
      <c r="R1198" s="1"/>
    </row>
    <row r="1199" spans="1:18" ht="15.75" customHeight="1" x14ac:dyDescent="0.25">
      <c r="A1199" s="2">
        <v>5443755</v>
      </c>
      <c r="B1199">
        <v>5443755</v>
      </c>
      <c r="C1199" t="str">
        <f>HYPERLINK("https://ois.dk/map/5443755/sfe", "Link")</f>
        <v>Link</v>
      </c>
      <c r="D1199" t="s">
        <v>156</v>
      </c>
      <c r="E1199" s="17">
        <v>0.5</v>
      </c>
      <c r="F1199" t="s">
        <v>1627</v>
      </c>
      <c r="G1199">
        <v>0.5</v>
      </c>
      <c r="Q1199" s="1"/>
      <c r="R1199" s="1"/>
    </row>
    <row r="1200" spans="1:18" ht="15.75" customHeight="1" x14ac:dyDescent="0.25">
      <c r="A1200" s="2">
        <v>5443756</v>
      </c>
      <c r="B1200">
        <v>5443756</v>
      </c>
      <c r="C1200" t="str">
        <f>HYPERLINK("https://ois.dk/map/5443756/sfe", "Link")</f>
        <v>Link</v>
      </c>
      <c r="D1200" t="s">
        <v>1628</v>
      </c>
      <c r="E1200" s="17">
        <v>0.5</v>
      </c>
      <c r="F1200" t="s">
        <v>1629</v>
      </c>
      <c r="G1200">
        <v>0.5</v>
      </c>
      <c r="Q1200" s="1"/>
      <c r="R1200" s="1"/>
    </row>
    <row r="1201" spans="1:19" ht="15.75" customHeight="1" x14ac:dyDescent="0.25">
      <c r="A1201" s="2">
        <v>5443762</v>
      </c>
      <c r="B1201">
        <v>5443762</v>
      </c>
      <c r="C1201" t="str">
        <f>HYPERLINK("https://ois.dk/map/5443762/sfe", "Link")</f>
        <v>Link</v>
      </c>
      <c r="D1201" t="s">
        <v>1630</v>
      </c>
      <c r="E1201" s="17">
        <v>0.75</v>
      </c>
      <c r="F1201" t="s">
        <v>1631</v>
      </c>
      <c r="G1201">
        <v>0.5</v>
      </c>
      <c r="H1201">
        <v>0.25</v>
      </c>
      <c r="Q1201" s="1"/>
      <c r="R1201" s="1"/>
    </row>
    <row r="1202" spans="1:19" ht="15.75" customHeight="1" x14ac:dyDescent="0.25">
      <c r="A1202" s="2">
        <v>5443764</v>
      </c>
      <c r="B1202">
        <v>5443764</v>
      </c>
      <c r="C1202" t="str">
        <f>HYPERLINK("https://ois.dk/map/5443764/sfe", "Link")</f>
        <v>Link</v>
      </c>
      <c r="D1202" t="s">
        <v>1632</v>
      </c>
      <c r="E1202" s="17">
        <v>0.54999999999999982</v>
      </c>
      <c r="F1202" t="s">
        <v>1633</v>
      </c>
      <c r="H1202">
        <v>0.25</v>
      </c>
      <c r="J1202">
        <v>0.3</v>
      </c>
      <c r="Q1202" s="1"/>
      <c r="R1202" s="1"/>
      <c r="S1202">
        <v>2.1</v>
      </c>
    </row>
    <row r="1203" spans="1:19" ht="15.75" customHeight="1" x14ac:dyDescent="0.25">
      <c r="A1203" s="2">
        <v>5443764</v>
      </c>
      <c r="B1203">
        <v>5443764</v>
      </c>
      <c r="C1203" t="str">
        <f>HYPERLINK("https://ois.dk/map/5443764/sfe", "Link")</f>
        <v>Link</v>
      </c>
      <c r="D1203" t="s">
        <v>1632</v>
      </c>
      <c r="E1203" s="17">
        <v>0.5</v>
      </c>
      <c r="F1203" t="s">
        <v>1634</v>
      </c>
      <c r="G1203">
        <v>0.5</v>
      </c>
      <c r="Q1203" s="1"/>
      <c r="R1203" s="1"/>
      <c r="S1203">
        <v>2.1</v>
      </c>
    </row>
    <row r="1204" spans="1:19" ht="15.75" customHeight="1" x14ac:dyDescent="0.25">
      <c r="A1204" s="2">
        <v>5443764</v>
      </c>
      <c r="B1204">
        <v>5443764</v>
      </c>
      <c r="C1204" t="str">
        <f>HYPERLINK("https://ois.dk/map/5443764/sfe", "Link")</f>
        <v>Link</v>
      </c>
      <c r="D1204" t="s">
        <v>1632</v>
      </c>
      <c r="E1204" s="17">
        <v>0.5</v>
      </c>
      <c r="F1204" t="s">
        <v>1635</v>
      </c>
      <c r="G1204">
        <v>0.5</v>
      </c>
      <c r="Q1204" s="1"/>
      <c r="R1204" s="1"/>
      <c r="S1204">
        <v>2.1</v>
      </c>
    </row>
    <row r="1205" spans="1:19" ht="15.75" customHeight="1" x14ac:dyDescent="0.25">
      <c r="A1205" s="2">
        <v>5443764</v>
      </c>
      <c r="B1205">
        <v>5443764</v>
      </c>
      <c r="C1205" t="str">
        <f>HYPERLINK("https://ois.dk/map/5443764/sfe", "Link")</f>
        <v>Link</v>
      </c>
      <c r="D1205" t="s">
        <v>1632</v>
      </c>
      <c r="E1205" s="17">
        <v>0.5</v>
      </c>
      <c r="F1205" t="s">
        <v>1636</v>
      </c>
      <c r="G1205">
        <v>0.5</v>
      </c>
      <c r="Q1205" s="1"/>
      <c r="R1205" s="1"/>
      <c r="S1205">
        <v>2.1</v>
      </c>
    </row>
    <row r="1206" spans="1:19" ht="15.75" customHeight="1" x14ac:dyDescent="0.25">
      <c r="A1206" s="2">
        <v>5443767</v>
      </c>
      <c r="B1206">
        <v>5443767</v>
      </c>
      <c r="C1206" t="str">
        <f t="shared" ref="C1206:C1219" si="38">HYPERLINK("https://ois.dk/map/5443767/sfe", "Link")</f>
        <v>Link</v>
      </c>
      <c r="D1206" t="s">
        <v>1637</v>
      </c>
      <c r="E1206" s="17">
        <v>0.25</v>
      </c>
      <c r="F1206" t="s">
        <v>1638</v>
      </c>
      <c r="H1206">
        <v>0.25</v>
      </c>
      <c r="Q1206" s="1"/>
      <c r="R1206" s="1"/>
    </row>
    <row r="1207" spans="1:19" ht="15.75" customHeight="1" x14ac:dyDescent="0.25">
      <c r="A1207" s="2">
        <v>5443767</v>
      </c>
      <c r="B1207">
        <v>5443767</v>
      </c>
      <c r="C1207" t="str">
        <f t="shared" si="38"/>
        <v>Link</v>
      </c>
      <c r="D1207" t="s">
        <v>1637</v>
      </c>
      <c r="E1207" s="17">
        <v>0.5</v>
      </c>
      <c r="F1207" t="s">
        <v>1638</v>
      </c>
      <c r="G1207">
        <v>0.5</v>
      </c>
      <c r="Q1207" s="1"/>
      <c r="R1207" s="1"/>
    </row>
    <row r="1208" spans="1:19" ht="15.75" customHeight="1" x14ac:dyDescent="0.25">
      <c r="A1208" s="2">
        <v>5443767</v>
      </c>
      <c r="B1208">
        <v>5443767</v>
      </c>
      <c r="C1208" t="str">
        <f t="shared" si="38"/>
        <v>Link</v>
      </c>
      <c r="D1208" t="s">
        <v>1637</v>
      </c>
      <c r="E1208" s="17">
        <v>0.5</v>
      </c>
      <c r="F1208" t="s">
        <v>1639</v>
      </c>
      <c r="G1208">
        <v>0.5</v>
      </c>
      <c r="Q1208" s="1"/>
      <c r="R1208" s="1"/>
    </row>
    <row r="1209" spans="1:19" ht="15.75" customHeight="1" x14ac:dyDescent="0.25">
      <c r="A1209" s="2">
        <v>5443767</v>
      </c>
      <c r="B1209">
        <v>5443767</v>
      </c>
      <c r="C1209" t="str">
        <f t="shared" si="38"/>
        <v>Link</v>
      </c>
      <c r="D1209" t="s">
        <v>1637</v>
      </c>
      <c r="E1209" s="17">
        <v>0.5</v>
      </c>
      <c r="F1209" t="s">
        <v>1640</v>
      </c>
      <c r="G1209">
        <v>0.5</v>
      </c>
      <c r="Q1209" s="1"/>
      <c r="R1209" s="1"/>
    </row>
    <row r="1210" spans="1:19" ht="15.75" customHeight="1" x14ac:dyDescent="0.25">
      <c r="A1210" s="2">
        <v>5443767</v>
      </c>
      <c r="B1210">
        <v>5443767</v>
      </c>
      <c r="C1210" t="str">
        <f t="shared" si="38"/>
        <v>Link</v>
      </c>
      <c r="D1210" t="s">
        <v>1637</v>
      </c>
      <c r="E1210" s="17">
        <v>0.5</v>
      </c>
      <c r="F1210" t="s">
        <v>1641</v>
      </c>
      <c r="G1210">
        <v>0.5</v>
      </c>
      <c r="Q1210" s="1"/>
      <c r="R1210" s="1"/>
    </row>
    <row r="1211" spans="1:19" ht="15.75" customHeight="1" x14ac:dyDescent="0.25">
      <c r="A1211" s="2">
        <v>5443767</v>
      </c>
      <c r="B1211">
        <v>5443767</v>
      </c>
      <c r="C1211" t="str">
        <f t="shared" si="38"/>
        <v>Link</v>
      </c>
      <c r="D1211" t="s">
        <v>1637</v>
      </c>
      <c r="E1211" s="17">
        <v>0.5</v>
      </c>
      <c r="F1211" t="s">
        <v>1642</v>
      </c>
      <c r="G1211">
        <v>0.5</v>
      </c>
      <c r="Q1211" s="1"/>
      <c r="R1211" s="1"/>
    </row>
    <row r="1212" spans="1:19" ht="15.75" customHeight="1" x14ac:dyDescent="0.25">
      <c r="A1212" s="2">
        <v>5443767</v>
      </c>
      <c r="B1212">
        <v>5443767</v>
      </c>
      <c r="C1212" t="str">
        <f t="shared" si="38"/>
        <v>Link</v>
      </c>
      <c r="D1212" t="s">
        <v>1637</v>
      </c>
      <c r="E1212" s="17">
        <v>0.5</v>
      </c>
      <c r="F1212" t="s">
        <v>1643</v>
      </c>
      <c r="G1212">
        <v>0.5</v>
      </c>
      <c r="Q1212" s="1"/>
      <c r="R1212" s="1"/>
    </row>
    <row r="1213" spans="1:19" ht="15.75" customHeight="1" x14ac:dyDescent="0.25">
      <c r="A1213" s="2">
        <v>5443767</v>
      </c>
      <c r="B1213">
        <v>5443767</v>
      </c>
      <c r="C1213" t="str">
        <f t="shared" si="38"/>
        <v>Link</v>
      </c>
      <c r="D1213" t="s">
        <v>1637</v>
      </c>
      <c r="E1213" s="17">
        <v>0.5</v>
      </c>
      <c r="F1213" t="s">
        <v>1644</v>
      </c>
      <c r="G1213">
        <v>0.5</v>
      </c>
      <c r="Q1213" s="1"/>
      <c r="R1213" s="1"/>
    </row>
    <row r="1214" spans="1:19" ht="15.75" customHeight="1" x14ac:dyDescent="0.25">
      <c r="A1214" s="2">
        <v>5443767</v>
      </c>
      <c r="B1214">
        <v>5443767</v>
      </c>
      <c r="C1214" t="str">
        <f t="shared" si="38"/>
        <v>Link</v>
      </c>
      <c r="D1214" t="s">
        <v>1637</v>
      </c>
      <c r="E1214" s="17">
        <v>0.5</v>
      </c>
      <c r="F1214" t="s">
        <v>1645</v>
      </c>
      <c r="G1214">
        <v>0.5</v>
      </c>
      <c r="Q1214" s="1"/>
      <c r="R1214" s="1"/>
    </row>
    <row r="1215" spans="1:19" ht="15.75" customHeight="1" x14ac:dyDescent="0.25">
      <c r="A1215" s="2">
        <v>5443767</v>
      </c>
      <c r="B1215">
        <v>5443767</v>
      </c>
      <c r="C1215" t="str">
        <f t="shared" si="38"/>
        <v>Link</v>
      </c>
      <c r="D1215" t="s">
        <v>1637</v>
      </c>
      <c r="E1215" s="17">
        <v>0.5</v>
      </c>
      <c r="F1215" t="s">
        <v>1646</v>
      </c>
      <c r="G1215">
        <v>0.5</v>
      </c>
      <c r="Q1215" s="1"/>
      <c r="R1215" s="1"/>
    </row>
    <row r="1216" spans="1:19" ht="15.75" customHeight="1" x14ac:dyDescent="0.25">
      <c r="A1216" s="2">
        <v>5443767</v>
      </c>
      <c r="B1216">
        <v>5443767</v>
      </c>
      <c r="C1216" t="str">
        <f t="shared" si="38"/>
        <v>Link</v>
      </c>
      <c r="D1216" t="s">
        <v>1637</v>
      </c>
      <c r="E1216" s="17">
        <v>0.5</v>
      </c>
      <c r="F1216" t="s">
        <v>1647</v>
      </c>
      <c r="G1216">
        <v>0.5</v>
      </c>
      <c r="Q1216" s="1"/>
      <c r="R1216" s="1"/>
    </row>
    <row r="1217" spans="1:18" ht="15.75" customHeight="1" x14ac:dyDescent="0.25">
      <c r="A1217" s="2">
        <v>5443767</v>
      </c>
      <c r="B1217">
        <v>5443767</v>
      </c>
      <c r="C1217" t="str">
        <f t="shared" si="38"/>
        <v>Link</v>
      </c>
      <c r="D1217" t="s">
        <v>1637</v>
      </c>
      <c r="E1217" s="17">
        <v>0.5</v>
      </c>
      <c r="F1217" t="s">
        <v>1648</v>
      </c>
      <c r="G1217">
        <v>0.5</v>
      </c>
      <c r="Q1217" s="1"/>
      <c r="R1217" s="1"/>
    </row>
    <row r="1218" spans="1:18" ht="15.75" customHeight="1" x14ac:dyDescent="0.25">
      <c r="A1218" s="2">
        <v>5443767</v>
      </c>
      <c r="B1218">
        <v>5443767</v>
      </c>
      <c r="C1218" t="str">
        <f t="shared" si="38"/>
        <v>Link</v>
      </c>
      <c r="D1218" t="s">
        <v>1637</v>
      </c>
      <c r="E1218" s="17">
        <v>0.5</v>
      </c>
      <c r="F1218" t="s">
        <v>1649</v>
      </c>
      <c r="G1218">
        <v>0.5</v>
      </c>
      <c r="Q1218" s="1"/>
      <c r="R1218" s="1"/>
    </row>
    <row r="1219" spans="1:18" ht="15.75" customHeight="1" x14ac:dyDescent="0.25">
      <c r="A1219" s="2">
        <v>5443767</v>
      </c>
      <c r="B1219">
        <v>5443767</v>
      </c>
      <c r="C1219" t="str">
        <f t="shared" si="38"/>
        <v>Link</v>
      </c>
      <c r="D1219" t="s">
        <v>1637</v>
      </c>
      <c r="E1219" s="17">
        <v>0.5</v>
      </c>
      <c r="F1219" t="s">
        <v>1650</v>
      </c>
      <c r="G1219">
        <v>0.5</v>
      </c>
      <c r="Q1219" s="1"/>
      <c r="R1219" s="1"/>
    </row>
    <row r="1220" spans="1:18" ht="15.75" customHeight="1" x14ac:dyDescent="0.25">
      <c r="A1220" s="2">
        <v>5443768</v>
      </c>
      <c r="B1220">
        <v>5443768</v>
      </c>
      <c r="C1220" t="str">
        <f>HYPERLINK("https://ois.dk/map/5443768/sfe", "Link")</f>
        <v>Link</v>
      </c>
      <c r="D1220" t="s">
        <v>1651</v>
      </c>
      <c r="E1220" s="17">
        <v>0.75</v>
      </c>
      <c r="F1220" t="s">
        <v>1652</v>
      </c>
      <c r="G1220">
        <v>0.5</v>
      </c>
      <c r="H1220">
        <v>0.25</v>
      </c>
      <c r="Q1220" s="1"/>
      <c r="R1220" s="1"/>
    </row>
    <row r="1221" spans="1:18" ht="15.75" customHeight="1" x14ac:dyDescent="0.25">
      <c r="A1221" s="2">
        <v>5443776</v>
      </c>
      <c r="B1221">
        <v>5443776</v>
      </c>
      <c r="C1221" t="str">
        <f t="shared" ref="C1221:C1237" si="39">HYPERLINK("https://ois.dk/map/5443776/sfe", "Link")</f>
        <v>Link</v>
      </c>
      <c r="D1221" t="s">
        <v>1653</v>
      </c>
      <c r="E1221" s="17">
        <v>0.25</v>
      </c>
      <c r="F1221" t="s">
        <v>1654</v>
      </c>
      <c r="H1221">
        <v>0.25</v>
      </c>
      <c r="Q1221" s="1"/>
      <c r="R1221" s="1">
        <v>2.08</v>
      </c>
    </row>
    <row r="1222" spans="1:18" ht="15.75" customHeight="1" x14ac:dyDescent="0.25">
      <c r="A1222" s="2">
        <v>5443776</v>
      </c>
      <c r="B1222">
        <v>5443776</v>
      </c>
      <c r="C1222" t="str">
        <f t="shared" si="39"/>
        <v>Link</v>
      </c>
      <c r="D1222" t="s">
        <v>1653</v>
      </c>
      <c r="E1222" s="17">
        <v>0.5</v>
      </c>
      <c r="F1222" t="s">
        <v>1655</v>
      </c>
      <c r="G1222">
        <v>0.5</v>
      </c>
      <c r="Q1222" s="1"/>
      <c r="R1222" s="1"/>
    </row>
    <row r="1223" spans="1:18" ht="15.75" customHeight="1" x14ac:dyDescent="0.25">
      <c r="A1223" s="2">
        <v>5443776</v>
      </c>
      <c r="B1223">
        <v>5443776</v>
      </c>
      <c r="C1223" t="str">
        <f t="shared" si="39"/>
        <v>Link</v>
      </c>
      <c r="D1223" t="s">
        <v>1653</v>
      </c>
      <c r="E1223" s="17">
        <v>0.5</v>
      </c>
      <c r="F1223" t="s">
        <v>1656</v>
      </c>
      <c r="G1223">
        <v>0.5</v>
      </c>
      <c r="Q1223" s="1"/>
      <c r="R1223" s="1"/>
    </row>
    <row r="1224" spans="1:18" ht="15.75" customHeight="1" x14ac:dyDescent="0.25">
      <c r="A1224" s="2">
        <v>5443776</v>
      </c>
      <c r="B1224">
        <v>5443776</v>
      </c>
      <c r="C1224" t="str">
        <f t="shared" si="39"/>
        <v>Link</v>
      </c>
      <c r="D1224" t="s">
        <v>1653</v>
      </c>
      <c r="E1224" s="17">
        <v>1.5</v>
      </c>
      <c r="F1224" t="s">
        <v>1657</v>
      </c>
      <c r="G1224">
        <v>0.5</v>
      </c>
      <c r="I1224">
        <v>1</v>
      </c>
      <c r="Q1224" s="1"/>
      <c r="R1224" s="1">
        <v>2.08</v>
      </c>
    </row>
    <row r="1225" spans="1:18" ht="15.75" customHeight="1" x14ac:dyDescent="0.25">
      <c r="A1225" s="2">
        <v>5443776</v>
      </c>
      <c r="B1225">
        <v>5443776</v>
      </c>
      <c r="C1225" t="str">
        <f t="shared" si="39"/>
        <v>Link</v>
      </c>
      <c r="D1225" t="s">
        <v>1653</v>
      </c>
      <c r="E1225" s="17">
        <v>1.5</v>
      </c>
      <c r="F1225" t="s">
        <v>1658</v>
      </c>
      <c r="G1225">
        <v>0.5</v>
      </c>
      <c r="I1225">
        <v>1</v>
      </c>
      <c r="Q1225" s="1"/>
      <c r="R1225" s="1">
        <v>2.08</v>
      </c>
    </row>
    <row r="1226" spans="1:18" ht="15.75" customHeight="1" x14ac:dyDescent="0.25">
      <c r="A1226" s="2">
        <v>5443776</v>
      </c>
      <c r="B1226">
        <v>5443776</v>
      </c>
      <c r="C1226" t="str">
        <f t="shared" si="39"/>
        <v>Link</v>
      </c>
      <c r="D1226" t="s">
        <v>1653</v>
      </c>
      <c r="E1226" s="17">
        <v>0.5</v>
      </c>
      <c r="F1226" t="s">
        <v>1659</v>
      </c>
      <c r="G1226">
        <v>0.5</v>
      </c>
      <c r="Q1226" s="1"/>
      <c r="R1226" s="1"/>
    </row>
    <row r="1227" spans="1:18" ht="15.75" customHeight="1" x14ac:dyDescent="0.25">
      <c r="A1227" s="2">
        <v>5443776</v>
      </c>
      <c r="B1227">
        <v>5443776</v>
      </c>
      <c r="C1227" t="str">
        <f t="shared" si="39"/>
        <v>Link</v>
      </c>
      <c r="D1227" t="s">
        <v>1653</v>
      </c>
      <c r="E1227" s="17">
        <v>0.5</v>
      </c>
      <c r="F1227" t="s">
        <v>1660</v>
      </c>
      <c r="G1227">
        <v>0.5</v>
      </c>
      <c r="Q1227" s="1"/>
      <c r="R1227" s="1"/>
    </row>
    <row r="1228" spans="1:18" ht="15.75" customHeight="1" x14ac:dyDescent="0.25">
      <c r="A1228" s="2">
        <v>5443776</v>
      </c>
      <c r="B1228">
        <v>5443776</v>
      </c>
      <c r="C1228" t="str">
        <f t="shared" si="39"/>
        <v>Link</v>
      </c>
      <c r="D1228" t="s">
        <v>1653</v>
      </c>
      <c r="E1228" s="17">
        <v>1.5</v>
      </c>
      <c r="F1228" t="s">
        <v>1661</v>
      </c>
      <c r="G1228">
        <v>0.5</v>
      </c>
      <c r="I1228">
        <v>1</v>
      </c>
      <c r="Q1228" s="1"/>
      <c r="R1228" s="1">
        <v>2.08</v>
      </c>
    </row>
    <row r="1229" spans="1:18" ht="15.75" customHeight="1" x14ac:dyDescent="0.25">
      <c r="A1229" s="2">
        <v>5443776</v>
      </c>
      <c r="B1229">
        <v>5443776</v>
      </c>
      <c r="C1229" t="str">
        <f t="shared" si="39"/>
        <v>Link</v>
      </c>
      <c r="D1229" t="s">
        <v>1653</v>
      </c>
      <c r="E1229" s="17">
        <v>1.5</v>
      </c>
      <c r="F1229" t="s">
        <v>1662</v>
      </c>
      <c r="G1229">
        <v>0.5</v>
      </c>
      <c r="I1229">
        <v>1</v>
      </c>
      <c r="Q1229" s="1"/>
      <c r="R1229" s="1">
        <v>2.08</v>
      </c>
    </row>
    <row r="1230" spans="1:18" ht="15.75" customHeight="1" x14ac:dyDescent="0.25">
      <c r="A1230" s="2">
        <v>5443776</v>
      </c>
      <c r="B1230">
        <v>5443776</v>
      </c>
      <c r="C1230" t="str">
        <f t="shared" si="39"/>
        <v>Link</v>
      </c>
      <c r="D1230" t="s">
        <v>1653</v>
      </c>
      <c r="E1230" s="17">
        <v>0.5</v>
      </c>
      <c r="F1230" t="s">
        <v>1663</v>
      </c>
      <c r="G1230">
        <v>0.5</v>
      </c>
      <c r="Q1230" s="1"/>
      <c r="R1230" s="1"/>
    </row>
    <row r="1231" spans="1:18" ht="15.75" customHeight="1" x14ac:dyDescent="0.25">
      <c r="A1231" s="2">
        <v>5443776</v>
      </c>
      <c r="B1231">
        <v>5443776</v>
      </c>
      <c r="C1231" t="str">
        <f t="shared" si="39"/>
        <v>Link</v>
      </c>
      <c r="D1231" t="s">
        <v>1653</v>
      </c>
      <c r="E1231" s="17">
        <v>0.5</v>
      </c>
      <c r="F1231" t="s">
        <v>1664</v>
      </c>
      <c r="G1231">
        <v>0.5</v>
      </c>
      <c r="Q1231" s="1"/>
      <c r="R1231" s="1"/>
    </row>
    <row r="1232" spans="1:18" ht="15.75" customHeight="1" x14ac:dyDescent="0.25">
      <c r="A1232" s="2">
        <v>5443776</v>
      </c>
      <c r="B1232">
        <v>5443776</v>
      </c>
      <c r="C1232" t="str">
        <f t="shared" si="39"/>
        <v>Link</v>
      </c>
      <c r="D1232" t="s">
        <v>1653</v>
      </c>
      <c r="E1232" s="17">
        <v>1.5</v>
      </c>
      <c r="F1232" t="s">
        <v>1665</v>
      </c>
      <c r="G1232">
        <v>0.5</v>
      </c>
      <c r="I1232">
        <v>1</v>
      </c>
      <c r="Q1232" s="1"/>
      <c r="R1232" s="1">
        <v>2.08</v>
      </c>
    </row>
    <row r="1233" spans="1:19" ht="15.75" customHeight="1" x14ac:dyDescent="0.25">
      <c r="A1233" s="2">
        <v>5443776</v>
      </c>
      <c r="B1233">
        <v>5443776</v>
      </c>
      <c r="C1233" t="str">
        <f t="shared" si="39"/>
        <v>Link</v>
      </c>
      <c r="D1233" t="s">
        <v>1653</v>
      </c>
      <c r="E1233" s="17">
        <v>1.5</v>
      </c>
      <c r="F1233" t="s">
        <v>1666</v>
      </c>
      <c r="G1233">
        <v>0.5</v>
      </c>
      <c r="I1233">
        <v>1</v>
      </c>
      <c r="Q1233" s="1"/>
      <c r="R1233" s="1">
        <v>2.08</v>
      </c>
    </row>
    <row r="1234" spans="1:19" ht="15.75" customHeight="1" x14ac:dyDescent="0.25">
      <c r="A1234" s="2">
        <v>5443776</v>
      </c>
      <c r="B1234">
        <v>5443776</v>
      </c>
      <c r="C1234" t="str">
        <f t="shared" si="39"/>
        <v>Link</v>
      </c>
      <c r="D1234" t="s">
        <v>1653</v>
      </c>
      <c r="E1234" s="17">
        <v>0.5</v>
      </c>
      <c r="F1234" t="s">
        <v>1667</v>
      </c>
      <c r="G1234">
        <v>0.5</v>
      </c>
      <c r="Q1234" s="1"/>
      <c r="R1234" s="1"/>
    </row>
    <row r="1235" spans="1:19" ht="15.75" customHeight="1" x14ac:dyDescent="0.25">
      <c r="A1235" s="2">
        <v>5443776</v>
      </c>
      <c r="B1235">
        <v>5443776</v>
      </c>
      <c r="C1235" t="str">
        <f t="shared" si="39"/>
        <v>Link</v>
      </c>
      <c r="D1235" t="s">
        <v>1653</v>
      </c>
      <c r="E1235" s="17">
        <v>0.5</v>
      </c>
      <c r="F1235" t="s">
        <v>1668</v>
      </c>
      <c r="G1235">
        <v>0.5</v>
      </c>
      <c r="Q1235" s="1"/>
      <c r="R1235" s="1"/>
    </row>
    <row r="1236" spans="1:19" ht="15.75" customHeight="1" x14ac:dyDescent="0.25">
      <c r="A1236" s="2">
        <v>5443776</v>
      </c>
      <c r="B1236">
        <v>5443776</v>
      </c>
      <c r="C1236" t="str">
        <f t="shared" si="39"/>
        <v>Link</v>
      </c>
      <c r="D1236" t="s">
        <v>1653</v>
      </c>
      <c r="E1236" s="17">
        <v>1.5</v>
      </c>
      <c r="F1236" t="s">
        <v>1669</v>
      </c>
      <c r="G1236">
        <v>0.5</v>
      </c>
      <c r="I1236">
        <v>1</v>
      </c>
      <c r="Q1236" s="1"/>
      <c r="R1236" s="1">
        <v>2.08</v>
      </c>
    </row>
    <row r="1237" spans="1:19" ht="15.75" customHeight="1" x14ac:dyDescent="0.25">
      <c r="A1237" s="2">
        <v>5443776</v>
      </c>
      <c r="B1237">
        <v>5443776</v>
      </c>
      <c r="C1237" t="str">
        <f t="shared" si="39"/>
        <v>Link</v>
      </c>
      <c r="D1237" t="s">
        <v>1653</v>
      </c>
      <c r="E1237" s="17">
        <v>1.5</v>
      </c>
      <c r="F1237" t="s">
        <v>1670</v>
      </c>
      <c r="G1237">
        <v>0.5</v>
      </c>
      <c r="I1237">
        <v>1</v>
      </c>
      <c r="Q1237" s="1"/>
      <c r="R1237" s="1">
        <v>2.08</v>
      </c>
    </row>
    <row r="1238" spans="1:19" ht="15.75" customHeight="1" x14ac:dyDescent="0.25">
      <c r="A1238" s="2">
        <v>5443781</v>
      </c>
      <c r="B1238">
        <v>5443781</v>
      </c>
      <c r="C1238" t="str">
        <f>HYPERLINK("https://ois.dk/map/5443781/sfe", "Link")</f>
        <v>Link</v>
      </c>
      <c r="D1238" t="s">
        <v>1671</v>
      </c>
      <c r="E1238" s="17">
        <v>1.75</v>
      </c>
      <c r="F1238" t="s">
        <v>1672</v>
      </c>
      <c r="G1238">
        <v>0.5</v>
      </c>
      <c r="H1238">
        <v>0.25</v>
      </c>
      <c r="I1238">
        <v>1</v>
      </c>
      <c r="Q1238" s="1"/>
      <c r="R1238" s="1">
        <v>1.68</v>
      </c>
    </row>
    <row r="1239" spans="1:19" ht="15.75" customHeight="1" x14ac:dyDescent="0.25">
      <c r="A1239" s="2">
        <v>5443782</v>
      </c>
      <c r="B1239">
        <v>5443782</v>
      </c>
      <c r="C1239" t="str">
        <f>HYPERLINK("https://ois.dk/map/5443782/sfe", "Link")</f>
        <v>Link</v>
      </c>
      <c r="D1239" t="s">
        <v>1673</v>
      </c>
      <c r="E1239" s="17">
        <v>1.75</v>
      </c>
      <c r="F1239" t="s">
        <v>1674</v>
      </c>
      <c r="G1239">
        <v>0.5</v>
      </c>
      <c r="H1239">
        <v>0.25</v>
      </c>
      <c r="I1239">
        <v>1</v>
      </c>
      <c r="Q1239" s="1"/>
      <c r="R1239" s="1">
        <v>1.63</v>
      </c>
    </row>
    <row r="1240" spans="1:19" ht="15.75" customHeight="1" x14ac:dyDescent="0.25">
      <c r="A1240" s="2">
        <v>5443785</v>
      </c>
      <c r="B1240">
        <v>5443785</v>
      </c>
      <c r="C1240" t="str">
        <f>HYPERLINK("https://ois.dk/map/5443785/sfe", "Link")</f>
        <v>Link</v>
      </c>
      <c r="D1240" t="s">
        <v>1675</v>
      </c>
      <c r="E1240" s="17">
        <v>0.54999999999999982</v>
      </c>
      <c r="F1240" t="s">
        <v>1676</v>
      </c>
      <c r="H1240">
        <v>0.25</v>
      </c>
      <c r="J1240">
        <v>0.3</v>
      </c>
      <c r="Q1240" s="1"/>
      <c r="R1240" s="1"/>
      <c r="S1240">
        <v>1.44</v>
      </c>
    </row>
    <row r="1241" spans="1:19" ht="15.75" customHeight="1" x14ac:dyDescent="0.25">
      <c r="A1241" s="2">
        <v>5443785</v>
      </c>
      <c r="B1241">
        <v>5443785</v>
      </c>
      <c r="C1241" t="str">
        <f>HYPERLINK("https://ois.dk/map/5443785/sfe", "Link")</f>
        <v>Link</v>
      </c>
      <c r="D1241" t="s">
        <v>1675</v>
      </c>
      <c r="E1241" s="17">
        <v>0.5</v>
      </c>
      <c r="F1241" t="s">
        <v>1677</v>
      </c>
      <c r="G1241">
        <v>0.5</v>
      </c>
      <c r="Q1241" s="1"/>
      <c r="R1241" s="1"/>
      <c r="S1241">
        <v>1.44</v>
      </c>
    </row>
    <row r="1242" spans="1:19" ht="15.75" customHeight="1" x14ac:dyDescent="0.25">
      <c r="A1242" s="2">
        <v>5443785</v>
      </c>
      <c r="B1242">
        <v>5443785</v>
      </c>
      <c r="C1242" t="str">
        <f>HYPERLINK("https://ois.dk/map/5443785/sfe", "Link")</f>
        <v>Link</v>
      </c>
      <c r="D1242" t="s">
        <v>1675</v>
      </c>
      <c r="E1242" s="17">
        <v>0.5</v>
      </c>
      <c r="F1242" t="s">
        <v>1678</v>
      </c>
      <c r="G1242">
        <v>0.5</v>
      </c>
      <c r="Q1242" s="1"/>
      <c r="R1242" s="1"/>
      <c r="S1242">
        <v>1.44</v>
      </c>
    </row>
    <row r="1243" spans="1:19" ht="15.75" customHeight="1" x14ac:dyDescent="0.25">
      <c r="A1243" s="2">
        <v>5443785</v>
      </c>
      <c r="B1243">
        <v>5443785</v>
      </c>
      <c r="C1243" t="str">
        <f>HYPERLINK("https://ois.dk/map/5443785/sfe", "Link")</f>
        <v>Link</v>
      </c>
      <c r="D1243" t="s">
        <v>1675</v>
      </c>
      <c r="E1243" s="17">
        <v>0.5</v>
      </c>
      <c r="F1243" t="s">
        <v>1679</v>
      </c>
      <c r="G1243">
        <v>0.5</v>
      </c>
      <c r="Q1243" s="1"/>
      <c r="R1243" s="1"/>
      <c r="S1243">
        <v>1.44</v>
      </c>
    </row>
    <row r="1244" spans="1:19" ht="15.75" customHeight="1" x14ac:dyDescent="0.25">
      <c r="A1244" s="2">
        <v>5443786</v>
      </c>
      <c r="B1244">
        <v>5443786</v>
      </c>
      <c r="C1244" t="str">
        <f>HYPERLINK("https://ois.dk/map/5443786/sfe", "Link")</f>
        <v>Link</v>
      </c>
      <c r="D1244" t="s">
        <v>1680</v>
      </c>
      <c r="E1244" s="17">
        <v>1.05</v>
      </c>
      <c r="F1244" t="s">
        <v>1681</v>
      </c>
      <c r="G1244">
        <v>0.5</v>
      </c>
      <c r="H1244">
        <v>0.25</v>
      </c>
      <c r="J1244">
        <v>0.3</v>
      </c>
      <c r="Q1244" s="1"/>
      <c r="R1244" s="1"/>
      <c r="S1244">
        <v>1.78</v>
      </c>
    </row>
    <row r="1245" spans="1:19" ht="15.75" customHeight="1" x14ac:dyDescent="0.25">
      <c r="A1245" s="2">
        <v>5443787</v>
      </c>
      <c r="B1245">
        <v>5443787</v>
      </c>
      <c r="C1245" t="str">
        <f>HYPERLINK("https://ois.dk/map/5443787/sfe", "Link")</f>
        <v>Link</v>
      </c>
      <c r="D1245" t="s">
        <v>1682</v>
      </c>
      <c r="E1245" s="17">
        <v>2.0499999999999998</v>
      </c>
      <c r="F1245" t="s">
        <v>1631</v>
      </c>
      <c r="G1245">
        <v>0.5</v>
      </c>
      <c r="H1245">
        <v>0.25</v>
      </c>
      <c r="I1245">
        <v>1</v>
      </c>
      <c r="J1245">
        <v>0.3</v>
      </c>
      <c r="Q1245" s="1"/>
      <c r="R1245" s="1">
        <v>1.97</v>
      </c>
      <c r="S1245">
        <v>2</v>
      </c>
    </row>
    <row r="1246" spans="1:19" ht="15.75" customHeight="1" x14ac:dyDescent="0.25">
      <c r="A1246" s="2">
        <v>5443790</v>
      </c>
      <c r="B1246">
        <v>5443790</v>
      </c>
      <c r="C1246" t="str">
        <f>HYPERLINK("https://ois.dk/map/5443790/sfe", "Link")</f>
        <v>Link</v>
      </c>
      <c r="D1246" t="s">
        <v>1683</v>
      </c>
      <c r="E1246" s="17">
        <v>1.05</v>
      </c>
      <c r="F1246" t="s">
        <v>1684</v>
      </c>
      <c r="G1246">
        <v>0.5</v>
      </c>
      <c r="H1246">
        <v>0.25</v>
      </c>
      <c r="J1246">
        <v>0.3</v>
      </c>
      <c r="Q1246" s="1"/>
      <c r="R1246" s="1"/>
      <c r="S1246">
        <v>1.05</v>
      </c>
    </row>
    <row r="1247" spans="1:19" ht="15.75" customHeight="1" x14ac:dyDescent="0.25">
      <c r="A1247" s="2">
        <v>5443791</v>
      </c>
      <c r="B1247">
        <v>5443791</v>
      </c>
      <c r="C1247" t="str">
        <f>HYPERLINK("https://ois.dk/map/5443791/sfe", "Link")</f>
        <v>Link</v>
      </c>
      <c r="D1247" t="s">
        <v>1685</v>
      </c>
      <c r="E1247" s="17">
        <v>1.25</v>
      </c>
      <c r="F1247" t="s">
        <v>1686</v>
      </c>
      <c r="H1247">
        <v>0.25</v>
      </c>
      <c r="I1247">
        <v>1</v>
      </c>
      <c r="Q1247" s="1"/>
      <c r="R1247" s="1">
        <v>2.0299999999999998</v>
      </c>
    </row>
    <row r="1248" spans="1:19" ht="15.75" customHeight="1" x14ac:dyDescent="0.25">
      <c r="A1248" s="2">
        <v>5443791</v>
      </c>
      <c r="B1248">
        <v>5443791</v>
      </c>
      <c r="C1248" t="str">
        <f>HYPERLINK("https://ois.dk/map/5443791/sfe", "Link")</f>
        <v>Link</v>
      </c>
      <c r="D1248" t="s">
        <v>1685</v>
      </c>
      <c r="E1248" s="17">
        <v>0.5</v>
      </c>
      <c r="F1248" t="s">
        <v>1687</v>
      </c>
      <c r="G1248">
        <v>0.5</v>
      </c>
      <c r="Q1248" s="1"/>
      <c r="R1248" s="1"/>
    </row>
    <row r="1249" spans="1:19" ht="15.75" customHeight="1" x14ac:dyDescent="0.25">
      <c r="A1249" s="2">
        <v>5443791</v>
      </c>
      <c r="B1249">
        <v>5443791</v>
      </c>
      <c r="C1249" t="str">
        <f>HYPERLINK("https://ois.dk/map/5443791/sfe", "Link")</f>
        <v>Link</v>
      </c>
      <c r="D1249" t="s">
        <v>1685</v>
      </c>
      <c r="E1249" s="17">
        <v>0.5</v>
      </c>
      <c r="F1249" t="s">
        <v>1688</v>
      </c>
      <c r="G1249">
        <v>0.5</v>
      </c>
      <c r="Q1249" s="1"/>
      <c r="R1249" s="1"/>
    </row>
    <row r="1250" spans="1:19" ht="15.75" customHeight="1" x14ac:dyDescent="0.25">
      <c r="A1250" s="2">
        <v>5443792</v>
      </c>
      <c r="B1250">
        <v>5443792</v>
      </c>
      <c r="C1250" t="str">
        <f>HYPERLINK("https://ois.dk/map/5443792/sfe", "Link")</f>
        <v>Link</v>
      </c>
      <c r="D1250" t="s">
        <v>1689</v>
      </c>
      <c r="E1250" s="17">
        <v>0.75</v>
      </c>
      <c r="F1250" t="s">
        <v>1690</v>
      </c>
      <c r="G1250">
        <v>0.5</v>
      </c>
      <c r="H1250">
        <v>0.25</v>
      </c>
      <c r="Q1250" s="1"/>
      <c r="R1250" s="1"/>
    </row>
    <row r="1251" spans="1:19" ht="15.75" customHeight="1" x14ac:dyDescent="0.25">
      <c r="A1251" s="2">
        <v>5443793</v>
      </c>
      <c r="B1251">
        <v>5443793</v>
      </c>
      <c r="C1251" t="str">
        <f>HYPERLINK("https://ois.dk/map/5443793/sfe", "Link")</f>
        <v>Link</v>
      </c>
      <c r="D1251" t="s">
        <v>1691</v>
      </c>
      <c r="E1251" s="17">
        <v>0.5</v>
      </c>
      <c r="F1251" t="s">
        <v>1692</v>
      </c>
      <c r="G1251">
        <v>0.5</v>
      </c>
      <c r="Q1251" s="1"/>
      <c r="R1251" s="1"/>
    </row>
    <row r="1252" spans="1:19" ht="15.75" customHeight="1" x14ac:dyDescent="0.25">
      <c r="A1252" s="2">
        <v>5443794</v>
      </c>
      <c r="B1252">
        <v>5443794</v>
      </c>
      <c r="C1252" t="str">
        <f>HYPERLINK("https://ois.dk/map/5443794/sfe", "Link")</f>
        <v>Link</v>
      </c>
      <c r="D1252" t="s">
        <v>1693</v>
      </c>
      <c r="E1252" s="17">
        <v>0.5</v>
      </c>
      <c r="F1252" t="s">
        <v>1694</v>
      </c>
      <c r="G1252">
        <v>0.5</v>
      </c>
      <c r="Q1252" s="1"/>
      <c r="R1252" s="1"/>
    </row>
    <row r="1253" spans="1:19" ht="15.75" customHeight="1" x14ac:dyDescent="0.25">
      <c r="A1253" s="2">
        <v>5443794</v>
      </c>
      <c r="B1253">
        <v>5443794</v>
      </c>
      <c r="C1253" t="str">
        <f>HYPERLINK("https://ois.dk/map/5443794/sfe", "Link")</f>
        <v>Link</v>
      </c>
      <c r="D1253" t="s">
        <v>1693</v>
      </c>
      <c r="E1253" s="17">
        <v>0.5</v>
      </c>
      <c r="F1253" t="s">
        <v>1695</v>
      </c>
      <c r="G1253">
        <v>0.5</v>
      </c>
      <c r="Q1253" s="1"/>
      <c r="R1253" s="1"/>
    </row>
    <row r="1254" spans="1:19" ht="15.75" customHeight="1" x14ac:dyDescent="0.25">
      <c r="A1254" s="2">
        <v>5443794</v>
      </c>
      <c r="B1254">
        <v>5443794</v>
      </c>
      <c r="C1254" t="str">
        <f>HYPERLINK("https://ois.dk/map/5443794/sfe", "Link")</f>
        <v>Link</v>
      </c>
      <c r="D1254" t="s">
        <v>1693</v>
      </c>
      <c r="E1254" s="17">
        <v>0.5</v>
      </c>
      <c r="F1254" t="s">
        <v>1696</v>
      </c>
      <c r="G1254">
        <v>0.5</v>
      </c>
      <c r="Q1254" s="1"/>
      <c r="R1254" s="1"/>
    </row>
    <row r="1255" spans="1:19" ht="15.75" customHeight="1" x14ac:dyDescent="0.25">
      <c r="A1255" s="2">
        <v>5443797</v>
      </c>
      <c r="B1255">
        <v>5443797</v>
      </c>
      <c r="C1255" t="str">
        <f>HYPERLINK("https://ois.dk/map/5443797/sfe", "Link")</f>
        <v>Link</v>
      </c>
      <c r="D1255" t="s">
        <v>1697</v>
      </c>
      <c r="E1255" s="17">
        <v>0.5</v>
      </c>
      <c r="F1255" t="s">
        <v>1698</v>
      </c>
      <c r="G1255">
        <v>0.5</v>
      </c>
      <c r="Q1255" s="1"/>
      <c r="R1255" s="1"/>
    </row>
    <row r="1256" spans="1:19" ht="15.75" customHeight="1" x14ac:dyDescent="0.25">
      <c r="A1256" s="2">
        <v>5443798</v>
      </c>
      <c r="B1256">
        <v>5443798</v>
      </c>
      <c r="C1256" t="str">
        <f>HYPERLINK("https://ois.dk/map/5443798/sfe", "Link")</f>
        <v>Link</v>
      </c>
      <c r="D1256" t="s">
        <v>1699</v>
      </c>
      <c r="E1256" s="17">
        <v>0.75</v>
      </c>
      <c r="F1256" t="s">
        <v>1700</v>
      </c>
      <c r="G1256">
        <v>0.5</v>
      </c>
      <c r="H1256">
        <v>0.25</v>
      </c>
      <c r="Q1256" s="1"/>
      <c r="R1256" s="1"/>
    </row>
    <row r="1257" spans="1:19" ht="15.75" customHeight="1" x14ac:dyDescent="0.25">
      <c r="A1257" s="2">
        <v>5443801</v>
      </c>
      <c r="B1257">
        <v>5443801</v>
      </c>
      <c r="C1257" t="str">
        <f>HYPERLINK("https://ois.dk/map/5443801/sfe", "Link")</f>
        <v>Link</v>
      </c>
      <c r="D1257" t="s">
        <v>1701</v>
      </c>
      <c r="E1257" s="17">
        <v>0.75</v>
      </c>
      <c r="F1257" t="s">
        <v>1702</v>
      </c>
      <c r="G1257">
        <v>0.5</v>
      </c>
      <c r="H1257">
        <v>0.25</v>
      </c>
      <c r="Q1257" s="1"/>
      <c r="R1257" s="1"/>
    </row>
    <row r="1258" spans="1:19" ht="15.75" customHeight="1" x14ac:dyDescent="0.25">
      <c r="A1258" s="2">
        <v>5443802</v>
      </c>
      <c r="B1258">
        <v>5443802</v>
      </c>
      <c r="C1258" t="str">
        <f>HYPERLINK("https://ois.dk/map/5443802/sfe", "Link")</f>
        <v>Link</v>
      </c>
      <c r="D1258" t="s">
        <v>1703</v>
      </c>
      <c r="E1258" s="17">
        <v>1.75</v>
      </c>
      <c r="F1258" t="s">
        <v>1704</v>
      </c>
      <c r="G1258">
        <v>0.5</v>
      </c>
      <c r="H1258">
        <v>0.25</v>
      </c>
      <c r="I1258">
        <v>1</v>
      </c>
      <c r="Q1258" s="1"/>
      <c r="R1258" s="1">
        <v>1.95</v>
      </c>
    </row>
    <row r="1259" spans="1:19" ht="15.75" customHeight="1" x14ac:dyDescent="0.25">
      <c r="A1259" s="2">
        <v>5443805</v>
      </c>
      <c r="B1259">
        <v>5443805</v>
      </c>
      <c r="C1259" t="str">
        <f>HYPERLINK("https://ois.dk/map/5443805/sfe", "Link")</f>
        <v>Link</v>
      </c>
      <c r="D1259" t="s">
        <v>1705</v>
      </c>
      <c r="E1259" s="17">
        <v>0.5</v>
      </c>
      <c r="G1259">
        <v>0.5</v>
      </c>
      <c r="Q1259" s="1"/>
      <c r="R1259" s="1"/>
    </row>
    <row r="1260" spans="1:19" ht="15.75" customHeight="1" x14ac:dyDescent="0.25">
      <c r="A1260" s="2">
        <v>5443806</v>
      </c>
      <c r="B1260">
        <v>5443806</v>
      </c>
      <c r="C1260" t="str">
        <f>HYPERLINK("https://ois.dk/map/5443806/sfe", "Link")</f>
        <v>Link</v>
      </c>
      <c r="D1260" t="s">
        <v>1706</v>
      </c>
      <c r="E1260" s="17">
        <v>0.75</v>
      </c>
      <c r="F1260" t="s">
        <v>1707</v>
      </c>
      <c r="G1260">
        <v>0.5</v>
      </c>
      <c r="H1260">
        <v>0.25</v>
      </c>
      <c r="Q1260" s="1"/>
      <c r="R1260" s="1"/>
    </row>
    <row r="1261" spans="1:19" ht="15.75" customHeight="1" x14ac:dyDescent="0.25">
      <c r="A1261" s="2">
        <v>5443807</v>
      </c>
      <c r="B1261">
        <v>5443807</v>
      </c>
      <c r="C1261" t="str">
        <f>HYPERLINK("https://ois.dk/map/5443807/sfe", "Link")</f>
        <v>Link</v>
      </c>
      <c r="D1261" t="s">
        <v>1708</v>
      </c>
      <c r="E1261" s="17">
        <v>1.05</v>
      </c>
      <c r="F1261" t="s">
        <v>1709</v>
      </c>
      <c r="G1261">
        <v>0.5</v>
      </c>
      <c r="H1261">
        <v>0.25</v>
      </c>
      <c r="J1261">
        <v>0.3</v>
      </c>
      <c r="Q1261" s="1"/>
      <c r="R1261" s="1"/>
      <c r="S1261">
        <v>2.11</v>
      </c>
    </row>
    <row r="1262" spans="1:19" ht="15.75" customHeight="1" x14ac:dyDescent="0.25">
      <c r="A1262" s="2">
        <v>5443808</v>
      </c>
      <c r="B1262">
        <v>5443808</v>
      </c>
      <c r="C1262" t="str">
        <f t="shared" ref="C1262:C1267" si="40">HYPERLINK("https://ois.dk/map/5443808/sfe", "Link")</f>
        <v>Link</v>
      </c>
      <c r="D1262" t="s">
        <v>1710</v>
      </c>
      <c r="E1262" s="17">
        <v>0.5</v>
      </c>
      <c r="F1262" t="s">
        <v>1711</v>
      </c>
      <c r="G1262">
        <v>0.5</v>
      </c>
      <c r="Q1262" s="1"/>
      <c r="R1262" s="1"/>
    </row>
    <row r="1263" spans="1:19" ht="15.75" customHeight="1" x14ac:dyDescent="0.25">
      <c r="A1263" s="2">
        <v>5443808</v>
      </c>
      <c r="B1263">
        <v>5443808</v>
      </c>
      <c r="C1263" t="str">
        <f t="shared" si="40"/>
        <v>Link</v>
      </c>
      <c r="D1263" t="s">
        <v>1710</v>
      </c>
      <c r="E1263" s="17">
        <v>0.5</v>
      </c>
      <c r="F1263" t="s">
        <v>1712</v>
      </c>
      <c r="G1263">
        <v>0.5</v>
      </c>
      <c r="Q1263" s="1"/>
      <c r="R1263" s="1"/>
    </row>
    <row r="1264" spans="1:19" ht="15.75" customHeight="1" x14ac:dyDescent="0.25">
      <c r="A1264" s="2">
        <v>5443808</v>
      </c>
      <c r="B1264">
        <v>5443808</v>
      </c>
      <c r="C1264" t="str">
        <f t="shared" si="40"/>
        <v>Link</v>
      </c>
      <c r="D1264" t="s">
        <v>1710</v>
      </c>
      <c r="E1264" s="17">
        <v>0.5</v>
      </c>
      <c r="F1264" t="s">
        <v>1713</v>
      </c>
      <c r="G1264">
        <v>0.5</v>
      </c>
      <c r="Q1264" s="1"/>
      <c r="R1264" s="1"/>
    </row>
    <row r="1265" spans="1:19" ht="15.75" customHeight="1" x14ac:dyDescent="0.25">
      <c r="A1265" s="2">
        <v>5443808</v>
      </c>
      <c r="B1265">
        <v>5443808</v>
      </c>
      <c r="C1265" t="str">
        <f t="shared" si="40"/>
        <v>Link</v>
      </c>
      <c r="D1265" t="s">
        <v>1710</v>
      </c>
      <c r="E1265" s="17">
        <v>0.5</v>
      </c>
      <c r="F1265" t="s">
        <v>1714</v>
      </c>
      <c r="G1265">
        <v>0.5</v>
      </c>
      <c r="Q1265" s="1"/>
      <c r="R1265" s="1"/>
    </row>
    <row r="1266" spans="1:19" ht="15.75" customHeight="1" x14ac:dyDescent="0.25">
      <c r="A1266" s="2">
        <v>5443808</v>
      </c>
      <c r="B1266">
        <v>5443808</v>
      </c>
      <c r="C1266" t="str">
        <f t="shared" si="40"/>
        <v>Link</v>
      </c>
      <c r="D1266" t="s">
        <v>1710</v>
      </c>
      <c r="E1266" s="17">
        <v>0.5</v>
      </c>
      <c r="F1266" t="s">
        <v>1715</v>
      </c>
      <c r="G1266">
        <v>0.5</v>
      </c>
      <c r="Q1266" s="1"/>
      <c r="R1266" s="1"/>
    </row>
    <row r="1267" spans="1:19" ht="15.75" customHeight="1" x14ac:dyDescent="0.25">
      <c r="A1267" s="2">
        <v>5443808</v>
      </c>
      <c r="B1267">
        <v>5443808</v>
      </c>
      <c r="C1267" t="str">
        <f t="shared" si="40"/>
        <v>Link</v>
      </c>
      <c r="D1267" t="s">
        <v>1710</v>
      </c>
      <c r="E1267" s="17">
        <v>0.5</v>
      </c>
      <c r="F1267" t="s">
        <v>1716</v>
      </c>
      <c r="G1267">
        <v>0.5</v>
      </c>
      <c r="Q1267" s="1"/>
      <c r="R1267" s="1"/>
    </row>
    <row r="1268" spans="1:19" ht="15.75" customHeight="1" x14ac:dyDescent="0.25">
      <c r="A1268" s="2">
        <v>5443810</v>
      </c>
      <c r="B1268">
        <v>5443810</v>
      </c>
      <c r="C1268" t="str">
        <f>HYPERLINK("https://ois.dk/map/5443810/sfe", "Link")</f>
        <v>Link</v>
      </c>
      <c r="D1268" t="s">
        <v>1717</v>
      </c>
      <c r="E1268" s="17">
        <v>0.75</v>
      </c>
      <c r="F1268" t="s">
        <v>1718</v>
      </c>
      <c r="G1268">
        <v>0.5</v>
      </c>
      <c r="H1268">
        <v>0.25</v>
      </c>
      <c r="Q1268" s="1"/>
      <c r="R1268" s="1"/>
    </row>
    <row r="1269" spans="1:19" ht="15.75" customHeight="1" x14ac:dyDescent="0.25">
      <c r="A1269" s="2">
        <v>5443811</v>
      </c>
      <c r="B1269">
        <v>5443811</v>
      </c>
      <c r="C1269" t="str">
        <f>HYPERLINK("https://ois.dk/map/5443811/sfe", "Link")</f>
        <v>Link</v>
      </c>
      <c r="D1269" t="s">
        <v>1719</v>
      </c>
      <c r="E1269" s="17">
        <v>1.75</v>
      </c>
      <c r="F1269" t="s">
        <v>1720</v>
      </c>
      <c r="G1269">
        <v>0.5</v>
      </c>
      <c r="H1269">
        <v>0.25</v>
      </c>
      <c r="I1269">
        <v>1</v>
      </c>
      <c r="Q1269" s="1"/>
      <c r="R1269" s="1">
        <v>1.84</v>
      </c>
    </row>
    <row r="1270" spans="1:19" ht="15.75" customHeight="1" x14ac:dyDescent="0.25">
      <c r="A1270" s="2">
        <v>5443813</v>
      </c>
      <c r="B1270">
        <v>5443813</v>
      </c>
      <c r="C1270" t="str">
        <f>HYPERLINK("https://ois.dk/map/5443813/sfe", "Link")</f>
        <v>Link</v>
      </c>
      <c r="D1270" t="s">
        <v>1721</v>
      </c>
      <c r="E1270" s="17">
        <v>1.05</v>
      </c>
      <c r="F1270" t="s">
        <v>1722</v>
      </c>
      <c r="G1270">
        <v>0.5</v>
      </c>
      <c r="H1270">
        <v>0.25</v>
      </c>
      <c r="J1270">
        <v>0.3</v>
      </c>
      <c r="Q1270" s="1"/>
      <c r="R1270" s="1"/>
      <c r="S1270">
        <v>2.08</v>
      </c>
    </row>
    <row r="1271" spans="1:19" ht="15.75" customHeight="1" x14ac:dyDescent="0.25">
      <c r="A1271" s="2">
        <v>5443814</v>
      </c>
      <c r="B1271">
        <v>5443814</v>
      </c>
      <c r="C1271" t="str">
        <f>HYPERLINK("https://ois.dk/map/5443814/sfe", "Link")</f>
        <v>Link</v>
      </c>
      <c r="D1271" t="s">
        <v>1723</v>
      </c>
      <c r="E1271" s="17">
        <v>0.75</v>
      </c>
      <c r="F1271" t="s">
        <v>1724</v>
      </c>
      <c r="G1271">
        <v>0.5</v>
      </c>
      <c r="H1271">
        <v>0.25</v>
      </c>
      <c r="Q1271" s="1"/>
      <c r="R1271" s="1"/>
    </row>
    <row r="1272" spans="1:19" ht="15.75" customHeight="1" x14ac:dyDescent="0.25">
      <c r="A1272" s="2">
        <v>5443815</v>
      </c>
      <c r="B1272">
        <v>5443815</v>
      </c>
      <c r="C1272" t="str">
        <f>HYPERLINK("https://ois.dk/map/5443815/sfe", "Link")</f>
        <v>Link</v>
      </c>
      <c r="D1272" t="s">
        <v>1725</v>
      </c>
      <c r="E1272" s="17">
        <v>1.05</v>
      </c>
      <c r="F1272" t="s">
        <v>1726</v>
      </c>
      <c r="G1272">
        <v>0.5</v>
      </c>
      <c r="H1272">
        <v>0.25</v>
      </c>
      <c r="J1272">
        <v>0.3</v>
      </c>
      <c r="Q1272" s="1"/>
      <c r="R1272" s="1"/>
      <c r="S1272">
        <v>1.43</v>
      </c>
    </row>
    <row r="1273" spans="1:19" ht="15.75" customHeight="1" x14ac:dyDescent="0.25">
      <c r="A1273" s="2">
        <v>5443816</v>
      </c>
      <c r="B1273">
        <v>5443816</v>
      </c>
      <c r="C1273" t="str">
        <f>HYPERLINK("https://ois.dk/map/5443816/sfe", "Link")</f>
        <v>Link</v>
      </c>
      <c r="D1273" t="s">
        <v>1727</v>
      </c>
      <c r="E1273" s="17">
        <v>1.05</v>
      </c>
      <c r="F1273" t="s">
        <v>1728</v>
      </c>
      <c r="G1273">
        <v>0.5</v>
      </c>
      <c r="H1273">
        <v>0.25</v>
      </c>
      <c r="J1273">
        <v>0.3</v>
      </c>
      <c r="Q1273" s="1"/>
      <c r="R1273" s="1"/>
      <c r="S1273">
        <v>1.77</v>
      </c>
    </row>
    <row r="1274" spans="1:19" ht="15.75" customHeight="1" x14ac:dyDescent="0.25">
      <c r="A1274" s="2">
        <v>5443817</v>
      </c>
      <c r="B1274">
        <v>5443817</v>
      </c>
      <c r="C1274" t="str">
        <f>HYPERLINK("https://ois.dk/map/5443817/sfe", "Link")</f>
        <v>Link</v>
      </c>
      <c r="D1274" t="s">
        <v>1729</v>
      </c>
      <c r="E1274" s="17">
        <v>2.0499999999999998</v>
      </c>
      <c r="F1274" t="s">
        <v>1730</v>
      </c>
      <c r="G1274">
        <v>0.5</v>
      </c>
      <c r="H1274">
        <v>0.25</v>
      </c>
      <c r="I1274">
        <v>1</v>
      </c>
      <c r="J1274">
        <v>0.3</v>
      </c>
      <c r="Q1274" s="1"/>
      <c r="R1274" s="1">
        <v>1.4</v>
      </c>
      <c r="S1274">
        <v>1.36</v>
      </c>
    </row>
    <row r="1275" spans="1:19" ht="15.75" customHeight="1" x14ac:dyDescent="0.25">
      <c r="A1275" s="2">
        <v>5443818</v>
      </c>
      <c r="B1275">
        <v>5443818</v>
      </c>
      <c r="C1275" t="str">
        <f>HYPERLINK("https://ois.dk/map/5443818/sfe", "Link")</f>
        <v>Link</v>
      </c>
      <c r="D1275" t="s">
        <v>1731</v>
      </c>
      <c r="E1275" s="17">
        <v>1.05</v>
      </c>
      <c r="F1275" t="s">
        <v>1732</v>
      </c>
      <c r="G1275">
        <v>0.5</v>
      </c>
      <c r="H1275">
        <v>0.25</v>
      </c>
      <c r="J1275">
        <v>0.3</v>
      </c>
      <c r="Q1275" s="1"/>
      <c r="R1275" s="1"/>
      <c r="S1275">
        <v>1.55</v>
      </c>
    </row>
    <row r="1276" spans="1:19" ht="15.75" customHeight="1" x14ac:dyDescent="0.25">
      <c r="A1276" s="2">
        <v>5443819</v>
      </c>
      <c r="B1276">
        <v>5443819</v>
      </c>
      <c r="C1276" t="str">
        <f>HYPERLINK("https://ois.dk/map/5443819/sfe", "Link")</f>
        <v>Link</v>
      </c>
      <c r="D1276" t="s">
        <v>1733</v>
      </c>
      <c r="E1276" s="17">
        <v>1.75</v>
      </c>
      <c r="F1276" t="s">
        <v>1734</v>
      </c>
      <c r="G1276">
        <v>0.5</v>
      </c>
      <c r="H1276">
        <v>0.25</v>
      </c>
      <c r="I1276">
        <v>1</v>
      </c>
      <c r="Q1276" s="1"/>
      <c r="R1276" s="1">
        <v>2.08</v>
      </c>
    </row>
    <row r="1277" spans="1:19" ht="15.75" customHeight="1" x14ac:dyDescent="0.25">
      <c r="A1277" s="2">
        <v>5443820</v>
      </c>
      <c r="B1277">
        <v>5443820</v>
      </c>
      <c r="C1277" t="str">
        <f>HYPERLINK("https://ois.dk/map/5443820/sfe", "Link")</f>
        <v>Link</v>
      </c>
      <c r="D1277" t="s">
        <v>1735</v>
      </c>
      <c r="E1277" s="17">
        <v>0.5</v>
      </c>
      <c r="F1277" t="s">
        <v>1736</v>
      </c>
      <c r="G1277">
        <v>0.5</v>
      </c>
      <c r="Q1277" s="1"/>
      <c r="R1277" s="1"/>
    </row>
    <row r="1278" spans="1:19" ht="15.75" customHeight="1" x14ac:dyDescent="0.25">
      <c r="A1278" s="2">
        <v>5443822</v>
      </c>
      <c r="B1278">
        <v>5443822</v>
      </c>
      <c r="C1278" t="str">
        <f>HYPERLINK("https://ois.dk/map/5443822/sfe", "Link")</f>
        <v>Link</v>
      </c>
      <c r="D1278" t="s">
        <v>1737</v>
      </c>
      <c r="E1278" s="17">
        <v>1.05</v>
      </c>
      <c r="F1278" t="s">
        <v>1738</v>
      </c>
      <c r="G1278">
        <v>0.5</v>
      </c>
      <c r="H1278">
        <v>0.25</v>
      </c>
      <c r="J1278">
        <v>0.3</v>
      </c>
      <c r="Q1278" s="1"/>
      <c r="R1278" s="1"/>
      <c r="S1278">
        <v>2.0099999999999998</v>
      </c>
    </row>
    <row r="1279" spans="1:19" ht="15.75" customHeight="1" x14ac:dyDescent="0.25">
      <c r="A1279" s="2">
        <v>5443823</v>
      </c>
      <c r="B1279">
        <v>5443823</v>
      </c>
      <c r="C1279" t="str">
        <f>HYPERLINK("https://ois.dk/map/5443823/sfe", "Link")</f>
        <v>Link</v>
      </c>
      <c r="D1279" t="s">
        <v>1739</v>
      </c>
      <c r="E1279" s="17">
        <v>1.25</v>
      </c>
      <c r="F1279" t="s">
        <v>1740</v>
      </c>
      <c r="H1279">
        <v>0.25</v>
      </c>
      <c r="I1279">
        <v>1</v>
      </c>
      <c r="Q1279" s="1"/>
      <c r="R1279" s="1">
        <v>1.66</v>
      </c>
    </row>
    <row r="1280" spans="1:19" ht="15.75" customHeight="1" x14ac:dyDescent="0.25">
      <c r="A1280" s="2">
        <v>5443823</v>
      </c>
      <c r="B1280">
        <v>5443823</v>
      </c>
      <c r="C1280" t="str">
        <f>HYPERLINK("https://ois.dk/map/5443823/sfe", "Link")</f>
        <v>Link</v>
      </c>
      <c r="D1280" t="s">
        <v>1739</v>
      </c>
      <c r="E1280" s="17">
        <v>0.5</v>
      </c>
      <c r="F1280" t="s">
        <v>1741</v>
      </c>
      <c r="G1280">
        <v>0.5</v>
      </c>
      <c r="Q1280" s="1"/>
      <c r="R1280" s="1"/>
    </row>
    <row r="1281" spans="1:19" ht="15.75" customHeight="1" x14ac:dyDescent="0.25">
      <c r="A1281" s="2">
        <v>5443823</v>
      </c>
      <c r="B1281">
        <v>5443823</v>
      </c>
      <c r="C1281" t="str">
        <f>HYPERLINK("https://ois.dk/map/5443823/sfe", "Link")</f>
        <v>Link</v>
      </c>
      <c r="D1281" t="s">
        <v>1739</v>
      </c>
      <c r="E1281" s="17">
        <v>0.5</v>
      </c>
      <c r="F1281" t="s">
        <v>1742</v>
      </c>
      <c r="G1281">
        <v>0.5</v>
      </c>
      <c r="Q1281" s="1"/>
      <c r="R1281" s="1"/>
    </row>
    <row r="1282" spans="1:19" ht="15.75" customHeight="1" x14ac:dyDescent="0.25">
      <c r="A1282" s="2">
        <v>5443824</v>
      </c>
      <c r="B1282">
        <v>5443824</v>
      </c>
      <c r="C1282" t="str">
        <f>HYPERLINK("https://ois.dk/map/5443824/sfe", "Link")</f>
        <v>Link</v>
      </c>
      <c r="D1282" t="s">
        <v>1743</v>
      </c>
      <c r="E1282" s="17">
        <v>1.05</v>
      </c>
      <c r="F1282" t="s">
        <v>1744</v>
      </c>
      <c r="G1282">
        <v>0.5</v>
      </c>
      <c r="H1282">
        <v>0.25</v>
      </c>
      <c r="J1282">
        <v>0.3</v>
      </c>
      <c r="Q1282" s="1"/>
      <c r="R1282" s="1"/>
      <c r="S1282">
        <v>1.49</v>
      </c>
    </row>
    <row r="1283" spans="1:19" ht="15.75" customHeight="1" x14ac:dyDescent="0.25">
      <c r="A1283" s="2">
        <v>5443826</v>
      </c>
      <c r="B1283">
        <v>5443826</v>
      </c>
      <c r="C1283" t="str">
        <f>HYPERLINK("https://ois.dk/map/5443826/sfe", "Link")</f>
        <v>Link</v>
      </c>
      <c r="D1283" t="s">
        <v>1745</v>
      </c>
      <c r="E1283" s="17">
        <v>0.75</v>
      </c>
      <c r="G1283">
        <v>0.5</v>
      </c>
      <c r="H1283">
        <v>0.25</v>
      </c>
      <c r="Q1283" s="1"/>
      <c r="R1283" s="1"/>
    </row>
    <row r="1284" spans="1:19" ht="15.75" customHeight="1" x14ac:dyDescent="0.25">
      <c r="A1284" s="2">
        <v>5443827</v>
      </c>
      <c r="B1284">
        <v>5443827</v>
      </c>
      <c r="C1284" t="str">
        <f>HYPERLINK("https://ois.dk/map/5443827/sfe", "Link")</f>
        <v>Link</v>
      </c>
      <c r="D1284" t="s">
        <v>1746</v>
      </c>
      <c r="E1284" s="17">
        <v>0.75</v>
      </c>
      <c r="G1284">
        <v>0.5</v>
      </c>
      <c r="H1284">
        <v>0.25</v>
      </c>
      <c r="Q1284" s="1"/>
      <c r="R1284" s="1"/>
    </row>
    <row r="1285" spans="1:19" ht="15.75" customHeight="1" x14ac:dyDescent="0.25">
      <c r="A1285" s="2">
        <v>5443828</v>
      </c>
      <c r="B1285">
        <v>5443828</v>
      </c>
      <c r="C1285" t="str">
        <f>HYPERLINK("https://ois.dk/map/5443828/sfe", "Link")</f>
        <v>Link</v>
      </c>
      <c r="D1285" t="s">
        <v>1747</v>
      </c>
      <c r="E1285" s="17">
        <v>0.75</v>
      </c>
      <c r="F1285" t="s">
        <v>1748</v>
      </c>
      <c r="G1285">
        <v>0.5</v>
      </c>
      <c r="H1285">
        <v>0.25</v>
      </c>
      <c r="Q1285" s="1"/>
      <c r="R1285" s="1"/>
    </row>
    <row r="1286" spans="1:19" ht="15.75" customHeight="1" x14ac:dyDescent="0.25">
      <c r="A1286" s="2">
        <v>5443829</v>
      </c>
      <c r="B1286">
        <v>5443829</v>
      </c>
      <c r="C1286" t="str">
        <f>HYPERLINK("https://ois.dk/map/5443829/sfe", "Link")</f>
        <v>Link</v>
      </c>
      <c r="D1286" t="s">
        <v>1749</v>
      </c>
      <c r="E1286" s="17">
        <v>1.75</v>
      </c>
      <c r="F1286" t="s">
        <v>1750</v>
      </c>
      <c r="G1286">
        <v>0.5</v>
      </c>
      <c r="H1286">
        <v>0.25</v>
      </c>
      <c r="I1286">
        <v>1</v>
      </c>
      <c r="Q1286" s="1"/>
      <c r="R1286" s="1">
        <v>1.65</v>
      </c>
    </row>
    <row r="1287" spans="1:19" ht="15.75" customHeight="1" x14ac:dyDescent="0.25">
      <c r="A1287" s="2">
        <v>5443830</v>
      </c>
      <c r="B1287">
        <v>5443830</v>
      </c>
      <c r="C1287" t="str">
        <f>HYPERLINK("https://ois.dk/map/5443830/sfe", "Link")</f>
        <v>Link</v>
      </c>
      <c r="D1287" t="s">
        <v>1751</v>
      </c>
      <c r="E1287" s="17">
        <v>1.75</v>
      </c>
      <c r="F1287" t="s">
        <v>1752</v>
      </c>
      <c r="G1287">
        <v>0.5</v>
      </c>
      <c r="H1287">
        <v>0.25</v>
      </c>
      <c r="I1287">
        <v>1</v>
      </c>
      <c r="Q1287" s="1"/>
      <c r="R1287" s="1">
        <v>1.52</v>
      </c>
    </row>
    <row r="1288" spans="1:19" ht="15.75" customHeight="1" x14ac:dyDescent="0.25">
      <c r="A1288" s="2">
        <v>5443831</v>
      </c>
      <c r="B1288">
        <v>5443831</v>
      </c>
      <c r="C1288" t="str">
        <f>HYPERLINK("https://ois.dk/map/5443831/sfe", "Link")</f>
        <v>Link</v>
      </c>
      <c r="D1288" t="s">
        <v>1753</v>
      </c>
      <c r="E1288" s="17">
        <v>2.0499999999999998</v>
      </c>
      <c r="F1288" t="s">
        <v>1754</v>
      </c>
      <c r="G1288">
        <v>0.5</v>
      </c>
      <c r="H1288">
        <v>0.25</v>
      </c>
      <c r="I1288">
        <v>1</v>
      </c>
      <c r="J1288">
        <v>0.3</v>
      </c>
      <c r="Q1288" s="1"/>
      <c r="R1288" s="1">
        <v>1.75</v>
      </c>
      <c r="S1288">
        <v>1.44</v>
      </c>
    </row>
    <row r="1289" spans="1:19" ht="15.75" customHeight="1" x14ac:dyDescent="0.25">
      <c r="A1289" s="2">
        <v>5443832</v>
      </c>
      <c r="B1289">
        <v>5443832</v>
      </c>
      <c r="C1289" t="str">
        <f>HYPERLINK("https://ois.dk/map/5443832/sfe", "Link")</f>
        <v>Link</v>
      </c>
      <c r="D1289" t="s">
        <v>1755</v>
      </c>
      <c r="E1289" s="17">
        <v>1.75</v>
      </c>
      <c r="F1289" t="s">
        <v>1756</v>
      </c>
      <c r="G1289">
        <v>0.5</v>
      </c>
      <c r="H1289">
        <v>0.25</v>
      </c>
      <c r="I1289">
        <v>1</v>
      </c>
      <c r="Q1289" s="1"/>
      <c r="R1289" s="1">
        <v>1.5</v>
      </c>
    </row>
    <row r="1290" spans="1:19" ht="15.75" customHeight="1" x14ac:dyDescent="0.25">
      <c r="A1290" s="2">
        <v>5443833</v>
      </c>
      <c r="B1290">
        <v>5443833</v>
      </c>
      <c r="C1290" t="str">
        <f>HYPERLINK("https://ois.dk/map/5443833/sfe", "Link")</f>
        <v>Link</v>
      </c>
      <c r="D1290" t="s">
        <v>1757</v>
      </c>
      <c r="E1290" s="17">
        <v>1.75</v>
      </c>
      <c r="F1290" t="s">
        <v>1758</v>
      </c>
      <c r="G1290">
        <v>0.5</v>
      </c>
      <c r="H1290">
        <v>0.25</v>
      </c>
      <c r="I1290">
        <v>1</v>
      </c>
      <c r="Q1290" s="1"/>
      <c r="R1290" s="1">
        <v>1.65</v>
      </c>
    </row>
    <row r="1291" spans="1:19" ht="15.75" customHeight="1" x14ac:dyDescent="0.25">
      <c r="A1291" s="2">
        <v>5443834</v>
      </c>
      <c r="B1291">
        <v>5443834</v>
      </c>
      <c r="C1291" t="str">
        <f>HYPERLINK("https://ois.dk/map/5443834/sfe", "Link")</f>
        <v>Link</v>
      </c>
      <c r="D1291" t="s">
        <v>1759</v>
      </c>
      <c r="E1291" s="17">
        <v>2.0499999999999998</v>
      </c>
      <c r="F1291" t="s">
        <v>1760</v>
      </c>
      <c r="G1291">
        <v>0.5</v>
      </c>
      <c r="H1291">
        <v>0.25</v>
      </c>
      <c r="I1291">
        <v>1</v>
      </c>
      <c r="J1291">
        <v>0.3</v>
      </c>
      <c r="Q1291" s="1"/>
      <c r="R1291" s="1">
        <v>1.67</v>
      </c>
      <c r="S1291">
        <v>1.69</v>
      </c>
    </row>
    <row r="1292" spans="1:19" ht="15.75" customHeight="1" x14ac:dyDescent="0.25">
      <c r="A1292" s="2">
        <v>5443835</v>
      </c>
      <c r="B1292">
        <v>5443835</v>
      </c>
      <c r="C1292" t="str">
        <f>HYPERLINK("https://ois.dk/map/5443835/sfe", "Link")</f>
        <v>Link</v>
      </c>
      <c r="D1292" t="s">
        <v>1761</v>
      </c>
      <c r="E1292" s="17">
        <v>2.0499999999999998</v>
      </c>
      <c r="F1292" t="s">
        <v>1762</v>
      </c>
      <c r="G1292">
        <v>0.5</v>
      </c>
      <c r="H1292">
        <v>0.25</v>
      </c>
      <c r="I1292">
        <v>1</v>
      </c>
      <c r="J1292">
        <v>0.3</v>
      </c>
      <c r="Q1292" s="1"/>
      <c r="R1292" s="1">
        <v>1.92</v>
      </c>
      <c r="S1292">
        <v>1.93</v>
      </c>
    </row>
    <row r="1293" spans="1:19" ht="15.75" customHeight="1" x14ac:dyDescent="0.25">
      <c r="A1293" s="2">
        <v>5443836</v>
      </c>
      <c r="B1293">
        <v>5443836</v>
      </c>
      <c r="C1293" t="str">
        <f>HYPERLINK("https://ois.dk/map/5443836/sfe", "Link")</f>
        <v>Link</v>
      </c>
      <c r="D1293" t="s">
        <v>1763</v>
      </c>
      <c r="E1293" s="17">
        <v>1.75</v>
      </c>
      <c r="F1293" t="s">
        <v>1764</v>
      </c>
      <c r="G1293">
        <v>0.5</v>
      </c>
      <c r="H1293">
        <v>0.25</v>
      </c>
      <c r="I1293">
        <v>1</v>
      </c>
      <c r="Q1293" s="1"/>
      <c r="R1293" s="1">
        <v>1.86</v>
      </c>
    </row>
    <row r="1294" spans="1:19" ht="15.75" customHeight="1" x14ac:dyDescent="0.25">
      <c r="A1294" s="2">
        <v>5443837</v>
      </c>
      <c r="B1294">
        <v>5443837</v>
      </c>
      <c r="C1294" t="str">
        <f>HYPERLINK("https://ois.dk/map/5443837/sfe", "Link")</f>
        <v>Link</v>
      </c>
      <c r="D1294" t="s">
        <v>1765</v>
      </c>
      <c r="E1294" s="17">
        <v>1.75</v>
      </c>
      <c r="F1294" t="s">
        <v>1766</v>
      </c>
      <c r="G1294">
        <v>0.5</v>
      </c>
      <c r="H1294">
        <v>0.25</v>
      </c>
      <c r="I1294">
        <v>1</v>
      </c>
      <c r="Q1294" s="1"/>
      <c r="R1294" s="1">
        <v>1.86</v>
      </c>
    </row>
    <row r="1295" spans="1:19" ht="15.75" customHeight="1" x14ac:dyDescent="0.25">
      <c r="A1295" s="2">
        <v>5443838</v>
      </c>
      <c r="B1295">
        <v>5443838</v>
      </c>
      <c r="C1295" t="str">
        <f>HYPERLINK("https://ois.dk/map/5443838/sfe", "Link")</f>
        <v>Link</v>
      </c>
      <c r="D1295" t="s">
        <v>1767</v>
      </c>
      <c r="E1295" s="17">
        <v>1.75</v>
      </c>
      <c r="F1295" t="s">
        <v>1768</v>
      </c>
      <c r="G1295">
        <v>0.5</v>
      </c>
      <c r="H1295">
        <v>0.25</v>
      </c>
      <c r="I1295">
        <v>1</v>
      </c>
      <c r="Q1295" s="1"/>
      <c r="R1295" s="1">
        <v>1.98</v>
      </c>
    </row>
    <row r="1296" spans="1:19" ht="15.75" customHeight="1" x14ac:dyDescent="0.25">
      <c r="A1296" s="2">
        <v>5443839</v>
      </c>
      <c r="B1296">
        <v>5443839</v>
      </c>
      <c r="C1296" t="str">
        <f>HYPERLINK("https://ois.dk/map/5443839/sfe", "Link")</f>
        <v>Link</v>
      </c>
      <c r="D1296" t="s">
        <v>1769</v>
      </c>
      <c r="E1296" s="17">
        <v>0.75</v>
      </c>
      <c r="F1296" t="s">
        <v>1770</v>
      </c>
      <c r="G1296">
        <v>0.5</v>
      </c>
      <c r="H1296">
        <v>0.25</v>
      </c>
      <c r="Q1296" s="1"/>
      <c r="R1296" s="1"/>
    </row>
    <row r="1297" spans="1:19" ht="15.75" customHeight="1" x14ac:dyDescent="0.25">
      <c r="A1297" s="2">
        <v>5443840</v>
      </c>
      <c r="B1297">
        <v>5443840</v>
      </c>
      <c r="C1297" t="str">
        <f>HYPERLINK("https://ois.dk/map/5443840/sfe", "Link")</f>
        <v>Link</v>
      </c>
      <c r="D1297" t="s">
        <v>1771</v>
      </c>
      <c r="E1297" s="17">
        <v>0.75</v>
      </c>
      <c r="F1297" t="s">
        <v>1772</v>
      </c>
      <c r="G1297">
        <v>0.5</v>
      </c>
      <c r="H1297">
        <v>0.25</v>
      </c>
      <c r="Q1297" s="1"/>
      <c r="R1297" s="1"/>
    </row>
    <row r="1298" spans="1:19" ht="15.75" customHeight="1" x14ac:dyDescent="0.25">
      <c r="A1298" s="2">
        <v>5443841</v>
      </c>
      <c r="B1298">
        <v>5443841</v>
      </c>
      <c r="C1298" t="str">
        <f>HYPERLINK("https://ois.dk/map/5443841/sfe", "Link")</f>
        <v>Link</v>
      </c>
      <c r="D1298" t="s">
        <v>1773</v>
      </c>
      <c r="E1298" s="17">
        <v>0.75</v>
      </c>
      <c r="F1298" t="s">
        <v>1774</v>
      </c>
      <c r="G1298">
        <v>0.5</v>
      </c>
      <c r="H1298">
        <v>0.25</v>
      </c>
      <c r="Q1298" s="1"/>
      <c r="R1298" s="1"/>
    </row>
    <row r="1299" spans="1:19" ht="15.75" customHeight="1" x14ac:dyDescent="0.25">
      <c r="A1299" s="2">
        <v>5443842</v>
      </c>
      <c r="B1299">
        <v>5443842</v>
      </c>
      <c r="C1299" t="str">
        <f>HYPERLINK("https://ois.dk/map/5443842/sfe", "Link")</f>
        <v>Link</v>
      </c>
      <c r="D1299" t="s">
        <v>1775</v>
      </c>
      <c r="E1299" s="17">
        <v>1.05</v>
      </c>
      <c r="F1299" t="s">
        <v>1776</v>
      </c>
      <c r="G1299">
        <v>0.5</v>
      </c>
      <c r="H1299">
        <v>0.25</v>
      </c>
      <c r="J1299">
        <v>0.3</v>
      </c>
      <c r="Q1299" s="1"/>
      <c r="R1299" s="1"/>
      <c r="S1299">
        <v>1.98</v>
      </c>
    </row>
    <row r="1300" spans="1:19" ht="15.75" customHeight="1" x14ac:dyDescent="0.25">
      <c r="A1300" s="2">
        <v>5443843</v>
      </c>
      <c r="B1300">
        <v>5443843</v>
      </c>
      <c r="C1300" t="str">
        <f>HYPERLINK("https://ois.dk/map/5443843/sfe", "Link")</f>
        <v>Link</v>
      </c>
      <c r="D1300" t="s">
        <v>1777</v>
      </c>
      <c r="E1300" s="17">
        <v>0.5</v>
      </c>
      <c r="F1300" t="s">
        <v>1778</v>
      </c>
      <c r="G1300">
        <v>0.5</v>
      </c>
      <c r="Q1300" s="1"/>
      <c r="R1300" s="1"/>
    </row>
    <row r="1301" spans="1:19" ht="15.75" customHeight="1" x14ac:dyDescent="0.25">
      <c r="A1301" s="2">
        <v>5443844</v>
      </c>
      <c r="B1301">
        <v>5443844</v>
      </c>
      <c r="C1301" t="str">
        <f>HYPERLINK("https://ois.dk/map/5443844/sfe", "Link")</f>
        <v>Link</v>
      </c>
      <c r="D1301" t="s">
        <v>1779</v>
      </c>
      <c r="E1301" s="17">
        <v>0.5</v>
      </c>
      <c r="F1301" t="s">
        <v>1780</v>
      </c>
      <c r="G1301">
        <v>0.5</v>
      </c>
      <c r="Q1301" s="1"/>
      <c r="R1301" s="1"/>
    </row>
    <row r="1302" spans="1:19" ht="15.75" customHeight="1" x14ac:dyDescent="0.25">
      <c r="A1302" s="2">
        <v>5443845</v>
      </c>
      <c r="B1302">
        <v>5443845</v>
      </c>
      <c r="C1302" t="str">
        <f>HYPERLINK("https://ois.dk/map/5443845/sfe", "Link")</f>
        <v>Link</v>
      </c>
      <c r="D1302" t="s">
        <v>1781</v>
      </c>
      <c r="E1302" s="17">
        <v>1.75</v>
      </c>
      <c r="F1302" t="s">
        <v>1782</v>
      </c>
      <c r="G1302">
        <v>0.5</v>
      </c>
      <c r="H1302">
        <v>0.25</v>
      </c>
      <c r="I1302">
        <v>1</v>
      </c>
      <c r="Q1302" s="1"/>
      <c r="R1302" s="1">
        <v>2.14</v>
      </c>
    </row>
    <row r="1303" spans="1:19" ht="15.75" customHeight="1" x14ac:dyDescent="0.25">
      <c r="A1303" s="2">
        <v>5443846</v>
      </c>
      <c r="B1303">
        <v>5443846</v>
      </c>
      <c r="C1303" t="str">
        <f>HYPERLINK("https://ois.dk/map/5443846/sfe", "Link")</f>
        <v>Link</v>
      </c>
      <c r="D1303" t="s">
        <v>1783</v>
      </c>
      <c r="E1303" s="17">
        <v>0.75</v>
      </c>
      <c r="F1303" t="s">
        <v>1784</v>
      </c>
      <c r="G1303">
        <v>0.5</v>
      </c>
      <c r="H1303">
        <v>0.25</v>
      </c>
      <c r="Q1303" s="1"/>
      <c r="R1303" s="1"/>
    </row>
    <row r="1304" spans="1:19" ht="15.75" customHeight="1" x14ac:dyDescent="0.25">
      <c r="A1304" s="2">
        <v>5443847</v>
      </c>
      <c r="B1304">
        <v>5443847</v>
      </c>
      <c r="C1304" t="str">
        <f>HYPERLINK("https://ois.dk/map/5443847/sfe", "Link")</f>
        <v>Link</v>
      </c>
      <c r="D1304" t="s">
        <v>1785</v>
      </c>
      <c r="E1304" s="17">
        <v>0.5</v>
      </c>
      <c r="F1304" t="s">
        <v>1786</v>
      </c>
      <c r="G1304">
        <v>0.5</v>
      </c>
      <c r="Q1304" s="1"/>
      <c r="R1304" s="1"/>
    </row>
    <row r="1305" spans="1:19" ht="15.75" customHeight="1" x14ac:dyDescent="0.25">
      <c r="A1305" s="2">
        <v>5443848</v>
      </c>
      <c r="B1305">
        <v>5443848</v>
      </c>
      <c r="C1305" t="str">
        <f>HYPERLINK("https://ois.dk/map/5443848/sfe", "Link")</f>
        <v>Link</v>
      </c>
      <c r="D1305" t="s">
        <v>1787</v>
      </c>
      <c r="E1305" s="17">
        <v>0.5</v>
      </c>
      <c r="F1305" t="s">
        <v>1788</v>
      </c>
      <c r="G1305">
        <v>0.5</v>
      </c>
      <c r="Q1305" s="1"/>
      <c r="R1305" s="1"/>
    </row>
    <row r="1306" spans="1:19" ht="15.75" customHeight="1" x14ac:dyDescent="0.25">
      <c r="A1306" s="2">
        <v>5443849</v>
      </c>
      <c r="B1306">
        <v>5443849</v>
      </c>
      <c r="C1306" t="str">
        <f>HYPERLINK("https://ois.dk/map/5443849/sfe", "Link")</f>
        <v>Link</v>
      </c>
      <c r="D1306" t="s">
        <v>1789</v>
      </c>
      <c r="E1306" s="17">
        <v>0.5</v>
      </c>
      <c r="F1306" t="s">
        <v>1790</v>
      </c>
      <c r="G1306">
        <v>0.5</v>
      </c>
      <c r="Q1306" s="1"/>
      <c r="R1306" s="1"/>
    </row>
    <row r="1307" spans="1:19" ht="15.75" customHeight="1" x14ac:dyDescent="0.25">
      <c r="A1307" s="2">
        <v>5443850</v>
      </c>
      <c r="B1307">
        <v>5443850</v>
      </c>
      <c r="C1307" t="str">
        <f>HYPERLINK("https://ois.dk/map/5443850/sfe", "Link")</f>
        <v>Link</v>
      </c>
      <c r="D1307" t="s">
        <v>1791</v>
      </c>
      <c r="E1307" s="17">
        <v>0.5</v>
      </c>
      <c r="F1307" t="s">
        <v>1792</v>
      </c>
      <c r="G1307">
        <v>0.5</v>
      </c>
      <c r="Q1307" s="1"/>
      <c r="R1307" s="1"/>
    </row>
    <row r="1308" spans="1:19" ht="15.75" customHeight="1" x14ac:dyDescent="0.25">
      <c r="A1308" s="2">
        <v>5443851</v>
      </c>
      <c r="B1308">
        <v>5443851</v>
      </c>
      <c r="C1308" t="str">
        <f>HYPERLINK("https://ois.dk/map/5443851/sfe", "Link")</f>
        <v>Link</v>
      </c>
      <c r="D1308" t="s">
        <v>1793</v>
      </c>
      <c r="E1308" s="17">
        <v>0.5</v>
      </c>
      <c r="F1308" t="s">
        <v>1794</v>
      </c>
      <c r="G1308">
        <v>0.5</v>
      </c>
      <c r="Q1308" s="1"/>
      <c r="R1308" s="1"/>
    </row>
    <row r="1309" spans="1:19" ht="15.75" customHeight="1" x14ac:dyDescent="0.25">
      <c r="A1309" s="2">
        <v>5443852</v>
      </c>
      <c r="B1309">
        <v>5443852</v>
      </c>
      <c r="C1309" t="str">
        <f>HYPERLINK("https://ois.dk/map/5443852/sfe", "Link")</f>
        <v>Link</v>
      </c>
      <c r="D1309" t="s">
        <v>1795</v>
      </c>
      <c r="E1309" s="17">
        <v>0.5</v>
      </c>
      <c r="F1309" t="s">
        <v>1796</v>
      </c>
      <c r="G1309">
        <v>0.5</v>
      </c>
      <c r="Q1309" s="1"/>
      <c r="R1309" s="1"/>
    </row>
    <row r="1310" spans="1:19" ht="15.75" customHeight="1" x14ac:dyDescent="0.25">
      <c r="A1310" s="2">
        <v>5443853</v>
      </c>
      <c r="B1310">
        <v>5443853</v>
      </c>
      <c r="C1310" t="str">
        <f>HYPERLINK("https://ois.dk/map/5443853/sfe", "Link")</f>
        <v>Link</v>
      </c>
      <c r="D1310" t="s">
        <v>1797</v>
      </c>
      <c r="E1310" s="17">
        <v>0.5</v>
      </c>
      <c r="F1310" t="s">
        <v>1798</v>
      </c>
      <c r="G1310">
        <v>0.5</v>
      </c>
      <c r="Q1310" s="1"/>
      <c r="R1310" s="1"/>
    </row>
    <row r="1311" spans="1:19" ht="15.75" customHeight="1" x14ac:dyDescent="0.25">
      <c r="A1311" s="2">
        <v>5443854</v>
      </c>
      <c r="B1311">
        <v>5443854</v>
      </c>
      <c r="C1311" t="str">
        <f>HYPERLINK("https://ois.dk/map/5443854/sfe", "Link")</f>
        <v>Link</v>
      </c>
      <c r="D1311" t="s">
        <v>1799</v>
      </c>
      <c r="E1311" s="17">
        <v>0.5</v>
      </c>
      <c r="F1311" t="s">
        <v>1800</v>
      </c>
      <c r="G1311">
        <v>0.5</v>
      </c>
      <c r="Q1311" s="1"/>
      <c r="R1311" s="1"/>
    </row>
    <row r="1312" spans="1:19" ht="15.75" customHeight="1" x14ac:dyDescent="0.25">
      <c r="A1312" s="2">
        <v>5443855</v>
      </c>
      <c r="B1312">
        <v>5443855</v>
      </c>
      <c r="C1312" t="str">
        <f>HYPERLINK("https://ois.dk/map/5443855/sfe", "Link")</f>
        <v>Link</v>
      </c>
      <c r="D1312" t="s">
        <v>1801</v>
      </c>
      <c r="E1312" s="17">
        <v>0.5</v>
      </c>
      <c r="F1312" t="s">
        <v>1802</v>
      </c>
      <c r="G1312">
        <v>0.5</v>
      </c>
      <c r="Q1312" s="1"/>
      <c r="R1312" s="1"/>
    </row>
    <row r="1313" spans="1:18" ht="15.75" customHeight="1" x14ac:dyDescent="0.25">
      <c r="A1313" s="2">
        <v>5443856</v>
      </c>
      <c r="B1313">
        <v>5443856</v>
      </c>
      <c r="C1313" t="str">
        <f>HYPERLINK("https://ois.dk/map/5443856/sfe", "Link")</f>
        <v>Link</v>
      </c>
      <c r="D1313" t="s">
        <v>1803</v>
      </c>
      <c r="E1313" s="17">
        <v>0.5</v>
      </c>
      <c r="F1313" t="s">
        <v>1804</v>
      </c>
      <c r="G1313">
        <v>0.5</v>
      </c>
      <c r="Q1313" s="1"/>
      <c r="R1313" s="1"/>
    </row>
    <row r="1314" spans="1:18" ht="15.75" customHeight="1" x14ac:dyDescent="0.25">
      <c r="A1314" s="2">
        <v>5443857</v>
      </c>
      <c r="B1314">
        <v>5443857</v>
      </c>
      <c r="C1314" t="str">
        <f>HYPERLINK("https://ois.dk/map/5443857/sfe", "Link")</f>
        <v>Link</v>
      </c>
      <c r="D1314" t="s">
        <v>1805</v>
      </c>
      <c r="E1314" s="17">
        <v>0.5</v>
      </c>
      <c r="F1314" t="s">
        <v>1806</v>
      </c>
      <c r="G1314">
        <v>0.5</v>
      </c>
      <c r="Q1314" s="1"/>
      <c r="R1314" s="1"/>
    </row>
    <row r="1315" spans="1:18" ht="15.75" customHeight="1" x14ac:dyDescent="0.25">
      <c r="A1315" s="2">
        <v>5443858</v>
      </c>
      <c r="B1315">
        <v>5443858</v>
      </c>
      <c r="C1315" t="str">
        <f>HYPERLINK("https://ois.dk/map/5443858/sfe", "Link")</f>
        <v>Link</v>
      </c>
      <c r="D1315" t="s">
        <v>1807</v>
      </c>
      <c r="E1315" s="17">
        <v>0.5</v>
      </c>
      <c r="F1315" t="s">
        <v>1808</v>
      </c>
      <c r="G1315">
        <v>0.5</v>
      </c>
      <c r="Q1315" s="1"/>
      <c r="R1315" s="1"/>
    </row>
    <row r="1316" spans="1:18" ht="15.75" customHeight="1" x14ac:dyDescent="0.25">
      <c r="A1316" s="2">
        <v>5443859</v>
      </c>
      <c r="B1316">
        <v>5443859</v>
      </c>
      <c r="C1316" t="str">
        <f>HYPERLINK("https://ois.dk/map/5443859/sfe", "Link")</f>
        <v>Link</v>
      </c>
      <c r="D1316" t="s">
        <v>1809</v>
      </c>
      <c r="E1316" s="17">
        <v>0.5</v>
      </c>
      <c r="F1316" t="s">
        <v>1810</v>
      </c>
      <c r="G1316">
        <v>0.5</v>
      </c>
      <c r="Q1316" s="1"/>
      <c r="R1316" s="1"/>
    </row>
    <row r="1317" spans="1:18" ht="15.75" customHeight="1" x14ac:dyDescent="0.25">
      <c r="A1317" s="2">
        <v>5443860</v>
      </c>
      <c r="B1317">
        <v>5443860</v>
      </c>
      <c r="C1317" t="str">
        <f>HYPERLINK("https://ois.dk/map/5443860/sfe", "Link")</f>
        <v>Link</v>
      </c>
      <c r="D1317" t="s">
        <v>1811</v>
      </c>
      <c r="E1317" s="17">
        <v>0.75</v>
      </c>
      <c r="F1317" t="s">
        <v>1812</v>
      </c>
      <c r="G1317">
        <v>0.5</v>
      </c>
      <c r="H1317">
        <v>0.25</v>
      </c>
      <c r="Q1317" s="1"/>
      <c r="R1317" s="1"/>
    </row>
    <row r="1318" spans="1:18" ht="15.75" customHeight="1" x14ac:dyDescent="0.25">
      <c r="A1318" s="2">
        <v>5443861</v>
      </c>
      <c r="B1318">
        <v>5443861</v>
      </c>
      <c r="C1318" t="str">
        <f>HYPERLINK("https://ois.dk/map/5443861/sfe", "Link")</f>
        <v>Link</v>
      </c>
      <c r="D1318" t="s">
        <v>1813</v>
      </c>
      <c r="E1318" s="17">
        <v>0.75</v>
      </c>
      <c r="F1318" t="s">
        <v>1814</v>
      </c>
      <c r="G1318">
        <v>0.5</v>
      </c>
      <c r="H1318">
        <v>0.25</v>
      </c>
      <c r="Q1318" s="1"/>
      <c r="R1318" s="1"/>
    </row>
    <row r="1319" spans="1:18" ht="15.75" customHeight="1" x14ac:dyDescent="0.25">
      <c r="A1319" s="2">
        <v>5443862</v>
      </c>
      <c r="B1319">
        <v>5443862</v>
      </c>
      <c r="C1319" t="str">
        <f>HYPERLINK("https://ois.dk/map/5443862/sfe", "Link")</f>
        <v>Link</v>
      </c>
      <c r="D1319" t="s">
        <v>1815</v>
      </c>
      <c r="E1319" s="17">
        <v>0.5</v>
      </c>
      <c r="F1319" t="s">
        <v>1816</v>
      </c>
      <c r="G1319">
        <v>0.5</v>
      </c>
      <c r="Q1319" s="1"/>
      <c r="R1319" s="1"/>
    </row>
    <row r="1320" spans="1:18" ht="15.75" customHeight="1" x14ac:dyDescent="0.25">
      <c r="A1320" s="2">
        <v>5443863</v>
      </c>
      <c r="B1320">
        <v>5443863</v>
      </c>
      <c r="C1320" t="str">
        <f>HYPERLINK("https://ois.dk/map/5443863/sfe", "Link")</f>
        <v>Link</v>
      </c>
      <c r="D1320" t="s">
        <v>1817</v>
      </c>
      <c r="E1320" s="17">
        <v>0.5</v>
      </c>
      <c r="F1320" t="s">
        <v>1818</v>
      </c>
      <c r="G1320">
        <v>0.5</v>
      </c>
      <c r="Q1320" s="1"/>
      <c r="R1320" s="1"/>
    </row>
    <row r="1321" spans="1:18" ht="15.75" customHeight="1" x14ac:dyDescent="0.25">
      <c r="A1321" s="2">
        <v>5443864</v>
      </c>
      <c r="B1321">
        <v>5443864</v>
      </c>
      <c r="C1321" t="str">
        <f>HYPERLINK("https://ois.dk/map/5443864/sfe", "Link")</f>
        <v>Link</v>
      </c>
      <c r="D1321" t="s">
        <v>1819</v>
      </c>
      <c r="E1321" s="17">
        <v>0.5</v>
      </c>
      <c r="F1321" t="s">
        <v>1820</v>
      </c>
      <c r="G1321">
        <v>0.5</v>
      </c>
      <c r="Q1321" s="1"/>
      <c r="R1321" s="1"/>
    </row>
    <row r="1322" spans="1:18" ht="15.75" customHeight="1" x14ac:dyDescent="0.25">
      <c r="A1322" s="2">
        <v>5443865</v>
      </c>
      <c r="B1322">
        <v>5443865</v>
      </c>
      <c r="C1322" t="str">
        <f>HYPERLINK("https://ois.dk/map/5443865/sfe", "Link")</f>
        <v>Link</v>
      </c>
      <c r="D1322" t="s">
        <v>1821</v>
      </c>
      <c r="E1322" s="17">
        <v>0.5</v>
      </c>
      <c r="F1322" t="s">
        <v>1822</v>
      </c>
      <c r="G1322">
        <v>0.5</v>
      </c>
      <c r="Q1322" s="1"/>
      <c r="R1322" s="1"/>
    </row>
    <row r="1323" spans="1:18" ht="15.75" customHeight="1" x14ac:dyDescent="0.25">
      <c r="A1323" s="2">
        <v>5443866</v>
      </c>
      <c r="B1323">
        <v>5443866</v>
      </c>
      <c r="C1323" t="str">
        <f>HYPERLINK("https://ois.dk/map/5443866/sfe", "Link")</f>
        <v>Link</v>
      </c>
      <c r="D1323" t="s">
        <v>1823</v>
      </c>
      <c r="E1323" s="17">
        <v>0.75</v>
      </c>
      <c r="F1323" t="s">
        <v>1824</v>
      </c>
      <c r="G1323">
        <v>0.5</v>
      </c>
      <c r="H1323">
        <v>0.25</v>
      </c>
      <c r="Q1323" s="1"/>
      <c r="R1323" s="1"/>
    </row>
    <row r="1324" spans="1:18" ht="15.75" customHeight="1" x14ac:dyDescent="0.25">
      <c r="A1324" s="2">
        <v>5443867</v>
      </c>
      <c r="B1324">
        <v>5443867</v>
      </c>
      <c r="C1324" t="str">
        <f>HYPERLINK("https://ois.dk/map/5443867/sfe", "Link")</f>
        <v>Link</v>
      </c>
      <c r="D1324" t="s">
        <v>1825</v>
      </c>
      <c r="E1324" s="17">
        <v>0.75</v>
      </c>
      <c r="F1324" t="s">
        <v>1826</v>
      </c>
      <c r="G1324">
        <v>0.5</v>
      </c>
      <c r="H1324">
        <v>0.25</v>
      </c>
      <c r="Q1324" s="1"/>
      <c r="R1324" s="1"/>
    </row>
    <row r="1325" spans="1:18" ht="15.75" customHeight="1" x14ac:dyDescent="0.25">
      <c r="A1325" s="2">
        <v>5443868</v>
      </c>
      <c r="B1325">
        <v>5443868</v>
      </c>
      <c r="C1325" t="str">
        <f>HYPERLINK("https://ois.dk/map/5443868/sfe", "Link")</f>
        <v>Link</v>
      </c>
      <c r="D1325" t="s">
        <v>1827</v>
      </c>
      <c r="E1325" s="17">
        <v>0.75</v>
      </c>
      <c r="F1325" t="s">
        <v>1828</v>
      </c>
      <c r="G1325">
        <v>0.5</v>
      </c>
      <c r="H1325">
        <v>0.25</v>
      </c>
      <c r="Q1325" s="1"/>
      <c r="R1325" s="1"/>
    </row>
    <row r="1326" spans="1:18" ht="15.75" customHeight="1" x14ac:dyDescent="0.25">
      <c r="A1326" s="2">
        <v>5443869</v>
      </c>
      <c r="B1326">
        <v>5443869</v>
      </c>
      <c r="C1326" t="str">
        <f>HYPERLINK("https://ois.dk/map/5443869/sfe", "Link")</f>
        <v>Link</v>
      </c>
      <c r="D1326" t="s">
        <v>1829</v>
      </c>
      <c r="E1326" s="17">
        <v>0.75</v>
      </c>
      <c r="F1326" t="s">
        <v>1830</v>
      </c>
      <c r="G1326">
        <v>0.5</v>
      </c>
      <c r="H1326">
        <v>0.25</v>
      </c>
      <c r="Q1326" s="1"/>
      <c r="R1326" s="1"/>
    </row>
    <row r="1327" spans="1:18" ht="15.75" customHeight="1" x14ac:dyDescent="0.25">
      <c r="A1327" s="2">
        <v>5443870</v>
      </c>
      <c r="B1327">
        <v>5443870</v>
      </c>
      <c r="C1327" t="str">
        <f>HYPERLINK("https://ois.dk/map/5443870/sfe", "Link")</f>
        <v>Link</v>
      </c>
      <c r="D1327" t="s">
        <v>1831</v>
      </c>
      <c r="E1327" s="17">
        <v>1.75</v>
      </c>
      <c r="F1327" t="s">
        <v>1832</v>
      </c>
      <c r="G1327">
        <v>0.5</v>
      </c>
      <c r="H1327">
        <v>0.25</v>
      </c>
      <c r="I1327">
        <v>1</v>
      </c>
      <c r="Q1327" s="1"/>
      <c r="R1327" s="1">
        <v>2.09</v>
      </c>
    </row>
    <row r="1328" spans="1:18" ht="15.75" customHeight="1" x14ac:dyDescent="0.25">
      <c r="A1328" s="2">
        <v>5443871</v>
      </c>
      <c r="B1328">
        <v>5443871</v>
      </c>
      <c r="C1328" t="str">
        <f>HYPERLINK("https://ois.dk/map/5443871/sfe", "Link")</f>
        <v>Link</v>
      </c>
      <c r="D1328" t="s">
        <v>1833</v>
      </c>
      <c r="E1328" s="17">
        <v>1.75</v>
      </c>
      <c r="F1328" t="s">
        <v>1834</v>
      </c>
      <c r="G1328">
        <v>0.5</v>
      </c>
      <c r="H1328">
        <v>0.25</v>
      </c>
      <c r="I1328">
        <v>1</v>
      </c>
      <c r="Q1328" s="1"/>
      <c r="R1328" s="1">
        <v>2.1</v>
      </c>
    </row>
    <row r="1329" spans="1:18" ht="15.75" customHeight="1" x14ac:dyDescent="0.25">
      <c r="A1329" s="2">
        <v>5443872</v>
      </c>
      <c r="B1329">
        <v>5443872</v>
      </c>
      <c r="C1329" t="str">
        <f>HYPERLINK("https://ois.dk/map/5443872/sfe", "Link")</f>
        <v>Link</v>
      </c>
      <c r="D1329" t="s">
        <v>1835</v>
      </c>
      <c r="E1329" s="17">
        <v>0.5</v>
      </c>
      <c r="F1329" t="s">
        <v>1836</v>
      </c>
      <c r="G1329">
        <v>0.5</v>
      </c>
      <c r="Q1329" s="1"/>
      <c r="R1329" s="1"/>
    </row>
    <row r="1330" spans="1:18" ht="15.75" customHeight="1" x14ac:dyDescent="0.25">
      <c r="A1330" s="2">
        <v>5443873</v>
      </c>
      <c r="B1330">
        <v>5443873</v>
      </c>
      <c r="C1330" t="str">
        <f>HYPERLINK("https://ois.dk/map/5443873/sfe", "Link")</f>
        <v>Link</v>
      </c>
      <c r="D1330" t="s">
        <v>1837</v>
      </c>
      <c r="E1330" s="17">
        <v>0.75</v>
      </c>
      <c r="F1330" t="s">
        <v>1838</v>
      </c>
      <c r="G1330">
        <v>0.5</v>
      </c>
      <c r="H1330">
        <v>0.25</v>
      </c>
      <c r="Q1330" s="1"/>
      <c r="R1330" s="1"/>
    </row>
    <row r="1331" spans="1:18" ht="15.75" customHeight="1" x14ac:dyDescent="0.25">
      <c r="A1331" s="2">
        <v>5443874</v>
      </c>
      <c r="B1331">
        <v>5443874</v>
      </c>
      <c r="C1331" t="str">
        <f>HYPERLINK("https://ois.dk/map/5443874/sfe", "Link")</f>
        <v>Link</v>
      </c>
      <c r="D1331" t="s">
        <v>1839</v>
      </c>
      <c r="E1331" s="17">
        <v>0.75</v>
      </c>
      <c r="F1331" t="s">
        <v>1840</v>
      </c>
      <c r="G1331">
        <v>0.5</v>
      </c>
      <c r="H1331">
        <v>0.25</v>
      </c>
      <c r="Q1331" s="1"/>
      <c r="R1331" s="1"/>
    </row>
    <row r="1332" spans="1:18" ht="15.75" customHeight="1" x14ac:dyDescent="0.25">
      <c r="A1332" s="2">
        <v>5443875</v>
      </c>
      <c r="B1332">
        <v>5443875</v>
      </c>
      <c r="C1332" t="str">
        <f t="shared" ref="C1332:C1355" si="41">HYPERLINK("https://ois.dk/map/5443875/sfe", "Link")</f>
        <v>Link</v>
      </c>
      <c r="D1332" t="s">
        <v>1841</v>
      </c>
      <c r="E1332" s="17">
        <v>0.5</v>
      </c>
      <c r="F1332" t="s">
        <v>1842</v>
      </c>
      <c r="G1332">
        <v>0.5</v>
      </c>
      <c r="Q1332" s="1"/>
      <c r="R1332" s="1"/>
    </row>
    <row r="1333" spans="1:18" ht="15.75" customHeight="1" x14ac:dyDescent="0.25">
      <c r="A1333" s="2">
        <v>5443875</v>
      </c>
      <c r="B1333">
        <v>5443875</v>
      </c>
      <c r="C1333" t="str">
        <f t="shared" si="41"/>
        <v>Link</v>
      </c>
      <c r="D1333" t="s">
        <v>1841</v>
      </c>
      <c r="E1333" s="17">
        <v>0.5</v>
      </c>
      <c r="F1333" t="s">
        <v>1843</v>
      </c>
      <c r="G1333">
        <v>0.5</v>
      </c>
      <c r="Q1333" s="1"/>
      <c r="R1333" s="1"/>
    </row>
    <row r="1334" spans="1:18" ht="15.75" customHeight="1" x14ac:dyDescent="0.25">
      <c r="A1334" s="2">
        <v>5443875</v>
      </c>
      <c r="B1334">
        <v>5443875</v>
      </c>
      <c r="C1334" t="str">
        <f t="shared" si="41"/>
        <v>Link</v>
      </c>
      <c r="D1334" t="s">
        <v>1841</v>
      </c>
      <c r="E1334" s="17">
        <v>0.5</v>
      </c>
      <c r="F1334" t="s">
        <v>1844</v>
      </c>
      <c r="G1334">
        <v>0.5</v>
      </c>
      <c r="Q1334" s="1"/>
      <c r="R1334" s="1"/>
    </row>
    <row r="1335" spans="1:18" ht="15.75" customHeight="1" x14ac:dyDescent="0.25">
      <c r="A1335" s="2">
        <v>5443875</v>
      </c>
      <c r="B1335">
        <v>5443875</v>
      </c>
      <c r="C1335" t="str">
        <f t="shared" si="41"/>
        <v>Link</v>
      </c>
      <c r="D1335" t="s">
        <v>1841</v>
      </c>
      <c r="E1335" s="17">
        <v>0.5</v>
      </c>
      <c r="F1335" t="s">
        <v>1845</v>
      </c>
      <c r="G1335">
        <v>0.5</v>
      </c>
      <c r="Q1335" s="1"/>
      <c r="R1335" s="1"/>
    </row>
    <row r="1336" spans="1:18" ht="15.75" customHeight="1" x14ac:dyDescent="0.25">
      <c r="A1336" s="2">
        <v>5443875</v>
      </c>
      <c r="B1336">
        <v>5443875</v>
      </c>
      <c r="C1336" t="str">
        <f t="shared" si="41"/>
        <v>Link</v>
      </c>
      <c r="D1336" t="s">
        <v>1841</v>
      </c>
      <c r="E1336" s="17">
        <v>0.5</v>
      </c>
      <c r="F1336" t="s">
        <v>1846</v>
      </c>
      <c r="G1336">
        <v>0.5</v>
      </c>
      <c r="Q1336" s="1"/>
      <c r="R1336" s="1"/>
    </row>
    <row r="1337" spans="1:18" ht="15.75" customHeight="1" x14ac:dyDescent="0.25">
      <c r="A1337" s="2">
        <v>5443875</v>
      </c>
      <c r="B1337">
        <v>5443875</v>
      </c>
      <c r="C1337" t="str">
        <f t="shared" si="41"/>
        <v>Link</v>
      </c>
      <c r="D1337" t="s">
        <v>1841</v>
      </c>
      <c r="E1337" s="17">
        <v>0.5</v>
      </c>
      <c r="F1337" t="s">
        <v>1847</v>
      </c>
      <c r="G1337">
        <v>0.5</v>
      </c>
      <c r="Q1337" s="1"/>
      <c r="R1337" s="1"/>
    </row>
    <row r="1338" spans="1:18" ht="15.75" customHeight="1" x14ac:dyDescent="0.25">
      <c r="A1338" s="2">
        <v>5443875</v>
      </c>
      <c r="B1338">
        <v>5443875</v>
      </c>
      <c r="C1338" t="str">
        <f t="shared" si="41"/>
        <v>Link</v>
      </c>
      <c r="D1338" t="s">
        <v>1841</v>
      </c>
      <c r="E1338" s="17">
        <v>0.5</v>
      </c>
      <c r="F1338" t="s">
        <v>1848</v>
      </c>
      <c r="G1338">
        <v>0.5</v>
      </c>
      <c r="Q1338" s="1"/>
      <c r="R1338" s="1"/>
    </row>
    <row r="1339" spans="1:18" ht="15.75" customHeight="1" x14ac:dyDescent="0.25">
      <c r="A1339" s="2">
        <v>5443875</v>
      </c>
      <c r="B1339">
        <v>5443875</v>
      </c>
      <c r="C1339" t="str">
        <f t="shared" si="41"/>
        <v>Link</v>
      </c>
      <c r="D1339" t="s">
        <v>1841</v>
      </c>
      <c r="E1339" s="17">
        <v>0.5</v>
      </c>
      <c r="F1339" t="s">
        <v>1849</v>
      </c>
      <c r="G1339">
        <v>0.5</v>
      </c>
      <c r="Q1339" s="1"/>
      <c r="R1339" s="1"/>
    </row>
    <row r="1340" spans="1:18" ht="15.75" customHeight="1" x14ac:dyDescent="0.25">
      <c r="A1340" s="2">
        <v>5443875</v>
      </c>
      <c r="B1340">
        <v>5443875</v>
      </c>
      <c r="C1340" t="str">
        <f t="shared" si="41"/>
        <v>Link</v>
      </c>
      <c r="D1340" t="s">
        <v>1841</v>
      </c>
      <c r="E1340" s="17">
        <v>0.5</v>
      </c>
      <c r="F1340" t="s">
        <v>1850</v>
      </c>
      <c r="G1340">
        <v>0.5</v>
      </c>
      <c r="Q1340" s="1"/>
      <c r="R1340" s="1"/>
    </row>
    <row r="1341" spans="1:18" ht="15.75" customHeight="1" x14ac:dyDescent="0.25">
      <c r="A1341" s="2">
        <v>5443875</v>
      </c>
      <c r="B1341">
        <v>5443875</v>
      </c>
      <c r="C1341" t="str">
        <f t="shared" si="41"/>
        <v>Link</v>
      </c>
      <c r="D1341" t="s">
        <v>1841</v>
      </c>
      <c r="E1341" s="17">
        <v>0.5</v>
      </c>
      <c r="F1341" t="s">
        <v>1851</v>
      </c>
      <c r="G1341">
        <v>0.5</v>
      </c>
      <c r="Q1341" s="1"/>
      <c r="R1341" s="1"/>
    </row>
    <row r="1342" spans="1:18" ht="15.75" customHeight="1" x14ac:dyDescent="0.25">
      <c r="A1342" s="2">
        <v>5443875</v>
      </c>
      <c r="B1342">
        <v>5443875</v>
      </c>
      <c r="C1342" t="str">
        <f t="shared" si="41"/>
        <v>Link</v>
      </c>
      <c r="D1342" t="s">
        <v>1841</v>
      </c>
      <c r="E1342" s="17">
        <v>0.5</v>
      </c>
      <c r="F1342" t="s">
        <v>1852</v>
      </c>
      <c r="G1342">
        <v>0.5</v>
      </c>
      <c r="Q1342" s="1"/>
      <c r="R1342" s="1"/>
    </row>
    <row r="1343" spans="1:18" ht="15.75" customHeight="1" x14ac:dyDescent="0.25">
      <c r="A1343" s="2">
        <v>5443875</v>
      </c>
      <c r="B1343">
        <v>5443875</v>
      </c>
      <c r="C1343" t="str">
        <f t="shared" si="41"/>
        <v>Link</v>
      </c>
      <c r="D1343" t="s">
        <v>1841</v>
      </c>
      <c r="E1343" s="17">
        <v>0.5</v>
      </c>
      <c r="F1343" t="s">
        <v>1853</v>
      </c>
      <c r="G1343">
        <v>0.5</v>
      </c>
      <c r="Q1343" s="1"/>
      <c r="R1343" s="1"/>
    </row>
    <row r="1344" spans="1:18" ht="15.75" customHeight="1" x14ac:dyDescent="0.25">
      <c r="A1344" s="2">
        <v>5443875</v>
      </c>
      <c r="B1344">
        <v>5443875</v>
      </c>
      <c r="C1344" t="str">
        <f t="shared" si="41"/>
        <v>Link</v>
      </c>
      <c r="D1344" t="s">
        <v>1841</v>
      </c>
      <c r="E1344" s="17">
        <v>0.5</v>
      </c>
      <c r="F1344" t="s">
        <v>1854</v>
      </c>
      <c r="G1344">
        <v>0.5</v>
      </c>
      <c r="Q1344" s="1"/>
      <c r="R1344" s="1"/>
    </row>
    <row r="1345" spans="1:18" ht="15.75" customHeight="1" x14ac:dyDescent="0.25">
      <c r="A1345" s="2">
        <v>5443875</v>
      </c>
      <c r="B1345">
        <v>5443875</v>
      </c>
      <c r="C1345" t="str">
        <f t="shared" si="41"/>
        <v>Link</v>
      </c>
      <c r="D1345" t="s">
        <v>1841</v>
      </c>
      <c r="E1345" s="17">
        <v>0.5</v>
      </c>
      <c r="F1345" t="s">
        <v>1855</v>
      </c>
      <c r="G1345">
        <v>0.5</v>
      </c>
      <c r="Q1345" s="1"/>
      <c r="R1345" s="1"/>
    </row>
    <row r="1346" spans="1:18" ht="15.75" customHeight="1" x14ac:dyDescent="0.25">
      <c r="A1346" s="2">
        <v>5443875</v>
      </c>
      <c r="B1346">
        <v>5443875</v>
      </c>
      <c r="C1346" t="str">
        <f t="shared" si="41"/>
        <v>Link</v>
      </c>
      <c r="D1346" t="s">
        <v>1841</v>
      </c>
      <c r="E1346" s="17">
        <v>0.5</v>
      </c>
      <c r="F1346" t="s">
        <v>1856</v>
      </c>
      <c r="G1346">
        <v>0.5</v>
      </c>
      <c r="Q1346" s="1"/>
      <c r="R1346" s="1"/>
    </row>
    <row r="1347" spans="1:18" ht="15.75" customHeight="1" x14ac:dyDescent="0.25">
      <c r="A1347" s="2">
        <v>5443875</v>
      </c>
      <c r="B1347">
        <v>5443875</v>
      </c>
      <c r="C1347" t="str">
        <f t="shared" si="41"/>
        <v>Link</v>
      </c>
      <c r="D1347" t="s">
        <v>1841</v>
      </c>
      <c r="E1347" s="17">
        <v>0.5</v>
      </c>
      <c r="F1347" t="s">
        <v>1857</v>
      </c>
      <c r="G1347">
        <v>0.5</v>
      </c>
      <c r="Q1347" s="1"/>
      <c r="R1347" s="1"/>
    </row>
    <row r="1348" spans="1:18" ht="15.75" customHeight="1" x14ac:dyDescent="0.25">
      <c r="A1348" s="2">
        <v>5443875</v>
      </c>
      <c r="B1348">
        <v>5443875</v>
      </c>
      <c r="C1348" t="str">
        <f t="shared" si="41"/>
        <v>Link</v>
      </c>
      <c r="D1348" t="s">
        <v>1841</v>
      </c>
      <c r="E1348" s="17">
        <v>0.5</v>
      </c>
      <c r="F1348" t="s">
        <v>1858</v>
      </c>
      <c r="G1348">
        <v>0.5</v>
      </c>
      <c r="Q1348" s="1"/>
      <c r="R1348" s="1"/>
    </row>
    <row r="1349" spans="1:18" ht="15.75" customHeight="1" x14ac:dyDescent="0.25">
      <c r="A1349" s="2">
        <v>5443875</v>
      </c>
      <c r="B1349">
        <v>5443875</v>
      </c>
      <c r="C1349" t="str">
        <f t="shared" si="41"/>
        <v>Link</v>
      </c>
      <c r="D1349" t="s">
        <v>1841</v>
      </c>
      <c r="E1349" s="17">
        <v>0.5</v>
      </c>
      <c r="F1349" t="s">
        <v>1859</v>
      </c>
      <c r="G1349">
        <v>0.5</v>
      </c>
      <c r="Q1349" s="1"/>
      <c r="R1349" s="1"/>
    </row>
    <row r="1350" spans="1:18" ht="15.75" customHeight="1" x14ac:dyDescent="0.25">
      <c r="A1350" s="2">
        <v>5443875</v>
      </c>
      <c r="B1350">
        <v>5443875</v>
      </c>
      <c r="C1350" t="str">
        <f t="shared" si="41"/>
        <v>Link</v>
      </c>
      <c r="D1350" t="s">
        <v>1841</v>
      </c>
      <c r="E1350" s="17">
        <v>0.5</v>
      </c>
      <c r="F1350" t="s">
        <v>1860</v>
      </c>
      <c r="G1350">
        <v>0.5</v>
      </c>
      <c r="Q1350" s="1"/>
      <c r="R1350" s="1"/>
    </row>
    <row r="1351" spans="1:18" ht="15.75" customHeight="1" x14ac:dyDescent="0.25">
      <c r="A1351" s="2">
        <v>5443875</v>
      </c>
      <c r="B1351">
        <v>5443875</v>
      </c>
      <c r="C1351" t="str">
        <f t="shared" si="41"/>
        <v>Link</v>
      </c>
      <c r="D1351" t="s">
        <v>1841</v>
      </c>
      <c r="E1351" s="17">
        <v>0.5</v>
      </c>
      <c r="F1351" t="s">
        <v>1861</v>
      </c>
      <c r="G1351">
        <v>0.5</v>
      </c>
      <c r="Q1351" s="1"/>
      <c r="R1351" s="1"/>
    </row>
    <row r="1352" spans="1:18" ht="15.75" customHeight="1" x14ac:dyDescent="0.25">
      <c r="A1352" s="2">
        <v>5443875</v>
      </c>
      <c r="B1352">
        <v>5443875</v>
      </c>
      <c r="C1352" t="str">
        <f t="shared" si="41"/>
        <v>Link</v>
      </c>
      <c r="D1352" t="s">
        <v>1841</v>
      </c>
      <c r="E1352" s="17">
        <v>0.5</v>
      </c>
      <c r="F1352" t="s">
        <v>1862</v>
      </c>
      <c r="G1352">
        <v>0.5</v>
      </c>
      <c r="Q1352" s="1"/>
      <c r="R1352" s="1"/>
    </row>
    <row r="1353" spans="1:18" ht="15.75" customHeight="1" x14ac:dyDescent="0.25">
      <c r="A1353" s="2">
        <v>5443875</v>
      </c>
      <c r="B1353">
        <v>5443875</v>
      </c>
      <c r="C1353" t="str">
        <f t="shared" si="41"/>
        <v>Link</v>
      </c>
      <c r="D1353" t="s">
        <v>1841</v>
      </c>
      <c r="E1353" s="17">
        <v>0.5</v>
      </c>
      <c r="F1353" t="s">
        <v>1863</v>
      </c>
      <c r="G1353">
        <v>0.5</v>
      </c>
      <c r="Q1353" s="1"/>
      <c r="R1353" s="1"/>
    </row>
    <row r="1354" spans="1:18" ht="15.75" customHeight="1" x14ac:dyDescent="0.25">
      <c r="A1354" s="2">
        <v>5443875</v>
      </c>
      <c r="B1354">
        <v>5443875</v>
      </c>
      <c r="C1354" t="str">
        <f t="shared" si="41"/>
        <v>Link</v>
      </c>
      <c r="D1354" t="s">
        <v>1841</v>
      </c>
      <c r="E1354" s="17">
        <v>0.5</v>
      </c>
      <c r="F1354" t="s">
        <v>1864</v>
      </c>
      <c r="G1354">
        <v>0.5</v>
      </c>
      <c r="Q1354" s="1"/>
      <c r="R1354" s="1"/>
    </row>
    <row r="1355" spans="1:18" ht="15.75" customHeight="1" x14ac:dyDescent="0.25">
      <c r="A1355" s="2">
        <v>5443875</v>
      </c>
      <c r="B1355">
        <v>5443875</v>
      </c>
      <c r="C1355" t="str">
        <f t="shared" si="41"/>
        <v>Link</v>
      </c>
      <c r="D1355" t="s">
        <v>1841</v>
      </c>
      <c r="E1355" s="17">
        <v>0.5</v>
      </c>
      <c r="F1355" t="s">
        <v>1865</v>
      </c>
      <c r="G1355">
        <v>0.5</v>
      </c>
      <c r="Q1355" s="1"/>
      <c r="R1355" s="1"/>
    </row>
    <row r="1356" spans="1:18" ht="15.75" customHeight="1" x14ac:dyDescent="0.25">
      <c r="A1356" s="2">
        <v>5443876</v>
      </c>
      <c r="B1356">
        <v>5443876</v>
      </c>
      <c r="C1356" t="str">
        <f>HYPERLINK("https://ois.dk/map/5443876/sfe", "Link")</f>
        <v>Link</v>
      </c>
      <c r="D1356" t="s">
        <v>1866</v>
      </c>
      <c r="E1356" s="17">
        <v>0.5</v>
      </c>
      <c r="F1356" t="s">
        <v>1867</v>
      </c>
      <c r="G1356">
        <v>0.5</v>
      </c>
      <c r="Q1356" s="1"/>
      <c r="R1356" s="1"/>
    </row>
    <row r="1357" spans="1:18" ht="15.75" customHeight="1" x14ac:dyDescent="0.25">
      <c r="A1357" s="2">
        <v>5443877</v>
      </c>
      <c r="B1357">
        <v>287614</v>
      </c>
      <c r="C1357" t="str">
        <f>HYPERLINK("https://ois.dk/map/287614/sfe", "Link")</f>
        <v>Link</v>
      </c>
      <c r="D1357" t="s">
        <v>1868</v>
      </c>
      <c r="E1357" s="17">
        <v>1.5</v>
      </c>
      <c r="F1357" t="s">
        <v>1869</v>
      </c>
      <c r="G1357">
        <v>0.5</v>
      </c>
      <c r="I1357">
        <v>1</v>
      </c>
      <c r="Q1357" s="1"/>
      <c r="R1357" s="1">
        <v>1.94</v>
      </c>
    </row>
    <row r="1358" spans="1:18" ht="15.75" customHeight="1" x14ac:dyDescent="0.25">
      <c r="A1358" s="2">
        <v>5443877</v>
      </c>
      <c r="B1358">
        <v>287615</v>
      </c>
      <c r="C1358" t="str">
        <f>HYPERLINK("https://ois.dk/map/287615/sfe", "Link")</f>
        <v>Link</v>
      </c>
      <c r="D1358" t="s">
        <v>1868</v>
      </c>
      <c r="E1358" s="17">
        <v>1.5</v>
      </c>
      <c r="F1358" t="s">
        <v>1870</v>
      </c>
      <c r="G1358">
        <v>0.5</v>
      </c>
      <c r="I1358">
        <v>1</v>
      </c>
      <c r="Q1358" s="1"/>
      <c r="R1358" s="1">
        <v>1.94</v>
      </c>
    </row>
    <row r="1359" spans="1:18" ht="15.75" customHeight="1" x14ac:dyDescent="0.25">
      <c r="A1359" s="2">
        <v>5443877</v>
      </c>
      <c r="B1359">
        <v>5443877</v>
      </c>
      <c r="C1359" t="str">
        <f>HYPERLINK("https://ois.dk/map/5443877/sfe", "Link")</f>
        <v>Link</v>
      </c>
      <c r="D1359" t="s">
        <v>1868</v>
      </c>
      <c r="E1359" s="17">
        <v>0.25</v>
      </c>
      <c r="F1359" t="s">
        <v>1869</v>
      </c>
      <c r="H1359">
        <v>0.25</v>
      </c>
      <c r="Q1359" s="1"/>
      <c r="R1359" s="1">
        <v>1.94</v>
      </c>
    </row>
    <row r="1360" spans="1:18" ht="15.75" customHeight="1" x14ac:dyDescent="0.25">
      <c r="A1360" s="2">
        <v>5443878</v>
      </c>
      <c r="B1360">
        <v>5443878</v>
      </c>
      <c r="C1360" t="str">
        <f>HYPERLINK("https://ois.dk/map/5443878/sfe", "Link")</f>
        <v>Link</v>
      </c>
      <c r="D1360" t="s">
        <v>1871</v>
      </c>
      <c r="E1360" s="17">
        <v>1.75</v>
      </c>
      <c r="F1360" t="s">
        <v>1872</v>
      </c>
      <c r="G1360">
        <v>0.5</v>
      </c>
      <c r="H1360">
        <v>0.25</v>
      </c>
      <c r="I1360">
        <v>1</v>
      </c>
      <c r="Q1360" s="1"/>
      <c r="R1360" s="1">
        <v>2.15</v>
      </c>
    </row>
    <row r="1361" spans="1:18" ht="15.75" customHeight="1" x14ac:dyDescent="0.25">
      <c r="A1361" s="2">
        <v>5443880</v>
      </c>
      <c r="B1361">
        <v>5443880</v>
      </c>
      <c r="C1361" t="str">
        <f>HYPERLINK("https://ois.dk/map/5443880/sfe", "Link")</f>
        <v>Link</v>
      </c>
      <c r="D1361" t="s">
        <v>1873</v>
      </c>
      <c r="E1361" s="17">
        <v>1.75</v>
      </c>
      <c r="F1361" t="s">
        <v>1874</v>
      </c>
      <c r="G1361">
        <v>0.5</v>
      </c>
      <c r="H1361">
        <v>0.25</v>
      </c>
      <c r="I1361">
        <v>1</v>
      </c>
      <c r="Q1361" s="1"/>
      <c r="R1361" s="1">
        <v>2.13</v>
      </c>
    </row>
    <row r="1362" spans="1:18" ht="15.75" customHeight="1" x14ac:dyDescent="0.25">
      <c r="A1362" s="2">
        <v>5443881</v>
      </c>
      <c r="B1362">
        <v>5443881</v>
      </c>
      <c r="C1362" t="str">
        <f>HYPERLINK("https://ois.dk/map/5443881/sfe", "Link")</f>
        <v>Link</v>
      </c>
      <c r="D1362" t="s">
        <v>1875</v>
      </c>
      <c r="E1362" s="17">
        <v>0.75</v>
      </c>
      <c r="F1362" t="s">
        <v>1876</v>
      </c>
      <c r="G1362">
        <v>0.5</v>
      </c>
      <c r="H1362">
        <v>0.25</v>
      </c>
      <c r="Q1362" s="1"/>
      <c r="R1362" s="1"/>
    </row>
    <row r="1363" spans="1:18" ht="15.75" customHeight="1" x14ac:dyDescent="0.25">
      <c r="A1363" s="2">
        <v>5443882</v>
      </c>
      <c r="B1363">
        <v>5443882</v>
      </c>
      <c r="C1363" t="str">
        <f>HYPERLINK("https://ois.dk/map/5443882/sfe", "Link")</f>
        <v>Link</v>
      </c>
      <c r="D1363" t="s">
        <v>1877</v>
      </c>
      <c r="E1363" s="17">
        <v>1.75</v>
      </c>
      <c r="F1363" t="s">
        <v>1878</v>
      </c>
      <c r="G1363">
        <v>0.5</v>
      </c>
      <c r="H1363">
        <v>0.25</v>
      </c>
      <c r="I1363">
        <v>1</v>
      </c>
      <c r="Q1363" s="1"/>
      <c r="R1363" s="1">
        <v>2.1</v>
      </c>
    </row>
    <row r="1364" spans="1:18" ht="15.75" customHeight="1" x14ac:dyDescent="0.25">
      <c r="A1364" s="2">
        <v>5443883</v>
      </c>
      <c r="B1364">
        <v>5443883</v>
      </c>
      <c r="C1364" t="str">
        <f>HYPERLINK("https://ois.dk/map/5443883/sfe", "Link")</f>
        <v>Link</v>
      </c>
      <c r="D1364" t="s">
        <v>1879</v>
      </c>
      <c r="E1364" s="17">
        <v>1.75</v>
      </c>
      <c r="F1364" t="s">
        <v>1880</v>
      </c>
      <c r="G1364">
        <v>0.5</v>
      </c>
      <c r="H1364">
        <v>0.25</v>
      </c>
      <c r="I1364">
        <v>1</v>
      </c>
      <c r="Q1364" s="1"/>
      <c r="R1364" s="1">
        <v>1.97</v>
      </c>
    </row>
    <row r="1365" spans="1:18" ht="15.75" customHeight="1" x14ac:dyDescent="0.25">
      <c r="A1365" s="2">
        <v>5443884</v>
      </c>
      <c r="B1365">
        <v>5443884</v>
      </c>
      <c r="C1365" t="str">
        <f>HYPERLINK("https://ois.dk/map/5443884/sfe", "Link")</f>
        <v>Link</v>
      </c>
      <c r="D1365" t="s">
        <v>1881</v>
      </c>
      <c r="E1365" s="17">
        <v>1.75</v>
      </c>
      <c r="F1365" t="s">
        <v>1882</v>
      </c>
      <c r="G1365">
        <v>0.5</v>
      </c>
      <c r="H1365">
        <v>0.25</v>
      </c>
      <c r="I1365">
        <v>1</v>
      </c>
      <c r="Q1365" s="1"/>
      <c r="R1365" s="1">
        <v>1.88</v>
      </c>
    </row>
    <row r="1366" spans="1:18" ht="15.75" customHeight="1" x14ac:dyDescent="0.25">
      <c r="A1366" s="2">
        <v>5443885</v>
      </c>
      <c r="B1366">
        <v>5443885</v>
      </c>
      <c r="C1366" t="str">
        <f>HYPERLINK("https://ois.dk/map/5443885/sfe", "Link")</f>
        <v>Link</v>
      </c>
      <c r="D1366" t="s">
        <v>1883</v>
      </c>
      <c r="E1366" s="17">
        <v>1.75</v>
      </c>
      <c r="F1366" t="s">
        <v>1884</v>
      </c>
      <c r="G1366">
        <v>0.5</v>
      </c>
      <c r="H1366">
        <v>0.25</v>
      </c>
      <c r="I1366">
        <v>1</v>
      </c>
      <c r="Q1366" s="1"/>
      <c r="R1366" s="1">
        <v>2.09</v>
      </c>
    </row>
    <row r="1367" spans="1:18" ht="15.75" customHeight="1" x14ac:dyDescent="0.25">
      <c r="A1367" s="2">
        <v>5443886</v>
      </c>
      <c r="B1367">
        <v>5443886</v>
      </c>
      <c r="C1367" t="str">
        <f>HYPERLINK("https://ois.dk/map/5443886/sfe", "Link")</f>
        <v>Link</v>
      </c>
      <c r="D1367" t="s">
        <v>1885</v>
      </c>
      <c r="E1367" s="17">
        <v>1.75</v>
      </c>
      <c r="F1367" t="s">
        <v>1886</v>
      </c>
      <c r="G1367">
        <v>0.5</v>
      </c>
      <c r="H1367">
        <v>0.25</v>
      </c>
      <c r="I1367">
        <v>1</v>
      </c>
      <c r="Q1367" s="1"/>
      <c r="R1367" s="1">
        <v>1.99</v>
      </c>
    </row>
    <row r="1368" spans="1:18" ht="15.75" customHeight="1" x14ac:dyDescent="0.25">
      <c r="A1368" s="2">
        <v>5443887</v>
      </c>
      <c r="B1368">
        <v>5443887</v>
      </c>
      <c r="C1368" t="str">
        <f>HYPERLINK("https://ois.dk/map/5443887/sfe", "Link")</f>
        <v>Link</v>
      </c>
      <c r="D1368" t="s">
        <v>1887</v>
      </c>
      <c r="E1368" s="17">
        <v>1.75</v>
      </c>
      <c r="F1368" t="s">
        <v>1888</v>
      </c>
      <c r="G1368">
        <v>0.5</v>
      </c>
      <c r="H1368">
        <v>0.25</v>
      </c>
      <c r="I1368">
        <v>1</v>
      </c>
      <c r="Q1368" s="1"/>
      <c r="R1368" s="1">
        <v>1.76</v>
      </c>
    </row>
    <row r="1369" spans="1:18" ht="15.75" customHeight="1" x14ac:dyDescent="0.25">
      <c r="A1369" s="2">
        <v>5443888</v>
      </c>
      <c r="B1369">
        <v>5443888</v>
      </c>
      <c r="C1369" t="str">
        <f>HYPERLINK("https://ois.dk/map/5443888/sfe", "Link")</f>
        <v>Link</v>
      </c>
      <c r="D1369" t="s">
        <v>1889</v>
      </c>
      <c r="E1369" s="17">
        <v>1.75</v>
      </c>
      <c r="F1369" t="s">
        <v>1890</v>
      </c>
      <c r="G1369">
        <v>0.5</v>
      </c>
      <c r="H1369">
        <v>0.25</v>
      </c>
      <c r="I1369">
        <v>1</v>
      </c>
      <c r="Q1369" s="1"/>
      <c r="R1369" s="1">
        <v>2.04</v>
      </c>
    </row>
    <row r="1370" spans="1:18" ht="15.75" customHeight="1" x14ac:dyDescent="0.25">
      <c r="A1370" s="2">
        <v>5443889</v>
      </c>
      <c r="B1370">
        <v>5443889</v>
      </c>
      <c r="C1370" t="str">
        <f>HYPERLINK("https://ois.dk/map/5443889/sfe", "Link")</f>
        <v>Link</v>
      </c>
      <c r="D1370" t="s">
        <v>1891</v>
      </c>
      <c r="E1370" s="17">
        <v>0.75</v>
      </c>
      <c r="F1370" t="s">
        <v>1892</v>
      </c>
      <c r="G1370">
        <v>0.5</v>
      </c>
      <c r="H1370">
        <v>0.25</v>
      </c>
      <c r="Q1370" s="1"/>
      <c r="R1370" s="1"/>
    </row>
    <row r="1371" spans="1:18" ht="15.75" customHeight="1" x14ac:dyDescent="0.25">
      <c r="A1371" s="2">
        <v>5443890</v>
      </c>
      <c r="B1371">
        <v>5443890</v>
      </c>
      <c r="C1371" t="str">
        <f>HYPERLINK("https://ois.dk/map/5443890/sfe", "Link")</f>
        <v>Link</v>
      </c>
      <c r="D1371" t="s">
        <v>1893</v>
      </c>
      <c r="E1371" s="17">
        <v>1.75</v>
      </c>
      <c r="F1371" t="s">
        <v>1894</v>
      </c>
      <c r="G1371">
        <v>0.5</v>
      </c>
      <c r="H1371">
        <v>0.25</v>
      </c>
      <c r="I1371">
        <v>1</v>
      </c>
      <c r="Q1371" s="1"/>
      <c r="R1371" s="1">
        <v>2.04</v>
      </c>
    </row>
    <row r="1372" spans="1:18" ht="15.75" customHeight="1" x14ac:dyDescent="0.25">
      <c r="A1372" s="2">
        <v>5443891</v>
      </c>
      <c r="B1372">
        <v>5443891</v>
      </c>
      <c r="C1372" t="str">
        <f>HYPERLINK("https://ois.dk/map/5443891/sfe", "Link")</f>
        <v>Link</v>
      </c>
      <c r="D1372" t="s">
        <v>1895</v>
      </c>
      <c r="E1372" s="17">
        <v>1.75</v>
      </c>
      <c r="F1372" t="s">
        <v>1896</v>
      </c>
      <c r="G1372">
        <v>0.5</v>
      </c>
      <c r="H1372">
        <v>0.25</v>
      </c>
      <c r="I1372">
        <v>1</v>
      </c>
      <c r="Q1372" s="1"/>
      <c r="R1372" s="1">
        <v>1.97</v>
      </c>
    </row>
    <row r="1373" spans="1:18" ht="15.75" customHeight="1" x14ac:dyDescent="0.25">
      <c r="A1373" s="2">
        <v>5443892</v>
      </c>
      <c r="B1373">
        <v>5443892</v>
      </c>
      <c r="C1373" t="str">
        <f>HYPERLINK("https://ois.dk/map/5443892/sfe", "Link")</f>
        <v>Link</v>
      </c>
      <c r="D1373" t="s">
        <v>1897</v>
      </c>
      <c r="E1373" s="17">
        <v>1.75</v>
      </c>
      <c r="F1373" t="s">
        <v>1898</v>
      </c>
      <c r="G1373">
        <v>0.5</v>
      </c>
      <c r="H1373">
        <v>0.25</v>
      </c>
      <c r="I1373">
        <v>1</v>
      </c>
      <c r="Q1373" s="1"/>
      <c r="R1373" s="1">
        <v>1.75</v>
      </c>
    </row>
    <row r="1374" spans="1:18" ht="15.75" customHeight="1" x14ac:dyDescent="0.25">
      <c r="A1374" s="2">
        <v>5443893</v>
      </c>
      <c r="B1374">
        <v>5443893</v>
      </c>
      <c r="C1374" t="str">
        <f>HYPERLINK("https://ois.dk/map/5443893/sfe", "Link")</f>
        <v>Link</v>
      </c>
      <c r="D1374" t="s">
        <v>1899</v>
      </c>
      <c r="E1374" s="17">
        <v>1.75</v>
      </c>
      <c r="F1374" t="s">
        <v>1900</v>
      </c>
      <c r="G1374">
        <v>0.5</v>
      </c>
      <c r="H1374">
        <v>0.25</v>
      </c>
      <c r="I1374">
        <v>1</v>
      </c>
      <c r="Q1374" s="1"/>
      <c r="R1374" s="1">
        <v>1.84</v>
      </c>
    </row>
    <row r="1375" spans="1:18" ht="15.75" customHeight="1" x14ac:dyDescent="0.25">
      <c r="A1375" s="2">
        <v>5443894</v>
      </c>
      <c r="B1375">
        <v>5443894</v>
      </c>
      <c r="C1375" t="str">
        <f>HYPERLINK("https://ois.dk/map/5443894/sfe", "Link")</f>
        <v>Link</v>
      </c>
      <c r="D1375" t="s">
        <v>1901</v>
      </c>
      <c r="E1375" s="17">
        <v>1.75</v>
      </c>
      <c r="F1375" t="s">
        <v>1902</v>
      </c>
      <c r="G1375">
        <v>0.5</v>
      </c>
      <c r="H1375">
        <v>0.25</v>
      </c>
      <c r="I1375">
        <v>1</v>
      </c>
      <c r="Q1375" s="1"/>
      <c r="R1375" s="1">
        <v>1.9</v>
      </c>
    </row>
    <row r="1376" spans="1:18" ht="15.75" customHeight="1" x14ac:dyDescent="0.25">
      <c r="A1376" s="2">
        <v>5443895</v>
      </c>
      <c r="B1376">
        <v>5443895</v>
      </c>
      <c r="C1376" t="str">
        <f>HYPERLINK("https://ois.dk/map/5443895/sfe", "Link")</f>
        <v>Link</v>
      </c>
      <c r="D1376" t="s">
        <v>1903</v>
      </c>
      <c r="E1376" s="17">
        <v>1.75</v>
      </c>
      <c r="F1376" t="s">
        <v>1904</v>
      </c>
      <c r="G1376">
        <v>0.5</v>
      </c>
      <c r="H1376">
        <v>0.25</v>
      </c>
      <c r="I1376">
        <v>1</v>
      </c>
      <c r="Q1376" s="1"/>
      <c r="R1376" s="1">
        <v>2</v>
      </c>
    </row>
    <row r="1377" spans="1:18" ht="15.75" customHeight="1" x14ac:dyDescent="0.25">
      <c r="A1377" s="2">
        <v>5443896</v>
      </c>
      <c r="B1377">
        <v>5443896</v>
      </c>
      <c r="C1377" t="str">
        <f>HYPERLINK("https://ois.dk/map/5443896/sfe", "Link")</f>
        <v>Link</v>
      </c>
      <c r="D1377" t="s">
        <v>1905</v>
      </c>
      <c r="E1377" s="17">
        <v>1.75</v>
      </c>
      <c r="F1377" t="s">
        <v>1906</v>
      </c>
      <c r="G1377">
        <v>0.5</v>
      </c>
      <c r="H1377">
        <v>0.25</v>
      </c>
      <c r="I1377">
        <v>1</v>
      </c>
      <c r="Q1377" s="1"/>
      <c r="R1377" s="1">
        <v>1.75</v>
      </c>
    </row>
    <row r="1378" spans="1:18" ht="15.75" customHeight="1" x14ac:dyDescent="0.25">
      <c r="A1378" s="2">
        <v>5443897</v>
      </c>
      <c r="B1378">
        <v>5443897</v>
      </c>
      <c r="C1378" t="str">
        <f>HYPERLINK("https://ois.dk/map/5443897/sfe", "Link")</f>
        <v>Link</v>
      </c>
      <c r="D1378" t="s">
        <v>1907</v>
      </c>
      <c r="E1378" s="17">
        <v>1.75</v>
      </c>
      <c r="F1378" t="s">
        <v>1908</v>
      </c>
      <c r="G1378">
        <v>0.5</v>
      </c>
      <c r="H1378">
        <v>0.25</v>
      </c>
      <c r="I1378">
        <v>1</v>
      </c>
      <c r="Q1378" s="1"/>
      <c r="R1378" s="1">
        <v>2</v>
      </c>
    </row>
    <row r="1379" spans="1:18" ht="15.75" customHeight="1" x14ac:dyDescent="0.25">
      <c r="A1379" s="2">
        <v>5443898</v>
      </c>
      <c r="B1379">
        <v>5443898</v>
      </c>
      <c r="C1379" t="str">
        <f>HYPERLINK("https://ois.dk/map/5443898/sfe", "Link")</f>
        <v>Link</v>
      </c>
      <c r="D1379" t="s">
        <v>1909</v>
      </c>
      <c r="E1379" s="17">
        <v>0.75</v>
      </c>
      <c r="F1379" t="s">
        <v>1910</v>
      </c>
      <c r="G1379">
        <v>0.5</v>
      </c>
      <c r="H1379">
        <v>0.25</v>
      </c>
      <c r="Q1379" s="1"/>
      <c r="R1379" s="1"/>
    </row>
    <row r="1380" spans="1:18" ht="15.75" customHeight="1" x14ac:dyDescent="0.25">
      <c r="A1380" s="2">
        <v>5443899</v>
      </c>
      <c r="B1380">
        <v>5443899</v>
      </c>
      <c r="C1380" t="str">
        <f>HYPERLINK("https://ois.dk/map/5443899/sfe", "Link")</f>
        <v>Link</v>
      </c>
      <c r="D1380" t="s">
        <v>1911</v>
      </c>
      <c r="E1380" s="17">
        <v>1.75</v>
      </c>
      <c r="F1380" t="s">
        <v>1912</v>
      </c>
      <c r="G1380">
        <v>0.5</v>
      </c>
      <c r="H1380">
        <v>0.25</v>
      </c>
      <c r="I1380">
        <v>1</v>
      </c>
      <c r="Q1380" s="1"/>
      <c r="R1380" s="1">
        <v>2.17</v>
      </c>
    </row>
    <row r="1381" spans="1:18" ht="15.75" customHeight="1" x14ac:dyDescent="0.25">
      <c r="A1381" s="2">
        <v>5443900</v>
      </c>
      <c r="B1381">
        <v>5443900</v>
      </c>
      <c r="C1381" t="str">
        <f>HYPERLINK("https://ois.dk/map/5443900/sfe", "Link")</f>
        <v>Link</v>
      </c>
      <c r="D1381" t="s">
        <v>1913</v>
      </c>
      <c r="E1381" s="17">
        <v>1.75</v>
      </c>
      <c r="F1381" t="s">
        <v>1914</v>
      </c>
      <c r="G1381">
        <v>0.5</v>
      </c>
      <c r="H1381">
        <v>0.25</v>
      </c>
      <c r="I1381">
        <v>1</v>
      </c>
      <c r="Q1381" s="1"/>
      <c r="R1381" s="1">
        <v>2.13</v>
      </c>
    </row>
    <row r="1382" spans="1:18" ht="15.75" customHeight="1" x14ac:dyDescent="0.25">
      <c r="A1382" s="2">
        <v>5443901</v>
      </c>
      <c r="B1382">
        <v>5443901</v>
      </c>
      <c r="C1382" t="str">
        <f>HYPERLINK("https://ois.dk/map/5443901/sfe", "Link")</f>
        <v>Link</v>
      </c>
      <c r="D1382" t="s">
        <v>1915</v>
      </c>
      <c r="E1382" s="17">
        <v>1.75</v>
      </c>
      <c r="F1382" t="s">
        <v>1916</v>
      </c>
      <c r="G1382">
        <v>0.5</v>
      </c>
      <c r="H1382">
        <v>0.25</v>
      </c>
      <c r="I1382">
        <v>1</v>
      </c>
      <c r="Q1382" s="1"/>
      <c r="R1382" s="1">
        <v>2</v>
      </c>
    </row>
    <row r="1383" spans="1:18" ht="15.75" customHeight="1" x14ac:dyDescent="0.25">
      <c r="A1383" s="2">
        <v>5443902</v>
      </c>
      <c r="B1383">
        <v>5443902</v>
      </c>
      <c r="C1383" t="str">
        <f>HYPERLINK("https://ois.dk/map/5443902/sfe", "Link")</f>
        <v>Link</v>
      </c>
      <c r="D1383" t="s">
        <v>1917</v>
      </c>
      <c r="E1383" s="17">
        <v>1.75</v>
      </c>
      <c r="F1383" t="s">
        <v>1918</v>
      </c>
      <c r="G1383">
        <v>0.5</v>
      </c>
      <c r="H1383">
        <v>0.25</v>
      </c>
      <c r="I1383">
        <v>1</v>
      </c>
      <c r="Q1383" s="1"/>
      <c r="R1383" s="1">
        <v>2.06</v>
      </c>
    </row>
    <row r="1384" spans="1:18" ht="15.75" customHeight="1" x14ac:dyDescent="0.25">
      <c r="A1384" s="2">
        <v>5443903</v>
      </c>
      <c r="B1384">
        <v>5443903</v>
      </c>
      <c r="C1384" t="str">
        <f>HYPERLINK("https://ois.dk/map/5443903/sfe", "Link")</f>
        <v>Link</v>
      </c>
      <c r="D1384" t="s">
        <v>1919</v>
      </c>
      <c r="E1384" s="17">
        <v>1.75</v>
      </c>
      <c r="F1384" t="s">
        <v>1920</v>
      </c>
      <c r="G1384">
        <v>0.5</v>
      </c>
      <c r="H1384">
        <v>0.25</v>
      </c>
      <c r="I1384">
        <v>1</v>
      </c>
      <c r="Q1384" s="1"/>
      <c r="R1384" s="1">
        <v>2</v>
      </c>
    </row>
    <row r="1385" spans="1:18" ht="15.75" customHeight="1" x14ac:dyDescent="0.25">
      <c r="A1385" s="2">
        <v>5443904</v>
      </c>
      <c r="B1385">
        <v>5443904</v>
      </c>
      <c r="C1385" t="str">
        <f>HYPERLINK("https://ois.dk/map/5443904/sfe", "Link")</f>
        <v>Link</v>
      </c>
      <c r="D1385" t="s">
        <v>1921</v>
      </c>
      <c r="E1385" s="17">
        <v>1.75</v>
      </c>
      <c r="F1385" t="s">
        <v>1922</v>
      </c>
      <c r="G1385">
        <v>0.5</v>
      </c>
      <c r="H1385">
        <v>0.25</v>
      </c>
      <c r="I1385">
        <v>1</v>
      </c>
      <c r="Q1385" s="1"/>
      <c r="R1385" s="1">
        <v>1.87</v>
      </c>
    </row>
    <row r="1386" spans="1:18" ht="15.75" customHeight="1" x14ac:dyDescent="0.25">
      <c r="A1386" s="2">
        <v>5443905</v>
      </c>
      <c r="B1386">
        <v>5443905</v>
      </c>
      <c r="C1386" t="str">
        <f>HYPERLINK("https://ois.dk/map/5443905/sfe", "Link")</f>
        <v>Link</v>
      </c>
      <c r="D1386" t="s">
        <v>1923</v>
      </c>
      <c r="E1386" s="17">
        <v>1.75</v>
      </c>
      <c r="F1386" t="s">
        <v>1924</v>
      </c>
      <c r="G1386">
        <v>0.5</v>
      </c>
      <c r="H1386">
        <v>0.25</v>
      </c>
      <c r="I1386">
        <v>1</v>
      </c>
      <c r="Q1386" s="1"/>
      <c r="R1386" s="1">
        <v>1.98</v>
      </c>
    </row>
    <row r="1387" spans="1:18" ht="15.75" customHeight="1" x14ac:dyDescent="0.25">
      <c r="A1387" s="2">
        <v>5443906</v>
      </c>
      <c r="B1387">
        <v>5443906</v>
      </c>
      <c r="C1387" t="str">
        <f>HYPERLINK("https://ois.dk/map/5443906/sfe", "Link")</f>
        <v>Link</v>
      </c>
      <c r="D1387" t="s">
        <v>1925</v>
      </c>
      <c r="E1387" s="17">
        <v>1.75</v>
      </c>
      <c r="F1387" t="s">
        <v>1926</v>
      </c>
      <c r="G1387">
        <v>0.5</v>
      </c>
      <c r="H1387">
        <v>0.25</v>
      </c>
      <c r="I1387">
        <v>1</v>
      </c>
      <c r="Q1387" s="1"/>
      <c r="R1387" s="1">
        <v>1.7</v>
      </c>
    </row>
    <row r="1388" spans="1:18" ht="15.75" customHeight="1" x14ac:dyDescent="0.25">
      <c r="A1388" s="2">
        <v>5443907</v>
      </c>
      <c r="B1388">
        <v>5443907</v>
      </c>
      <c r="C1388" t="str">
        <f>HYPERLINK("https://ois.dk/map/5443907/sfe", "Link")</f>
        <v>Link</v>
      </c>
      <c r="D1388" t="s">
        <v>1927</v>
      </c>
      <c r="E1388" s="17">
        <v>1.75</v>
      </c>
      <c r="F1388" t="s">
        <v>1928</v>
      </c>
      <c r="G1388">
        <v>0.5</v>
      </c>
      <c r="H1388">
        <v>0.25</v>
      </c>
      <c r="I1388">
        <v>1</v>
      </c>
      <c r="Q1388" s="1"/>
      <c r="R1388" s="1">
        <v>1.72</v>
      </c>
    </row>
    <row r="1389" spans="1:18" ht="15.75" customHeight="1" x14ac:dyDescent="0.25">
      <c r="A1389" s="2">
        <v>5443908</v>
      </c>
      <c r="B1389">
        <v>5443908</v>
      </c>
      <c r="C1389" t="str">
        <f>HYPERLINK("https://ois.dk/map/5443908/sfe", "Link")</f>
        <v>Link</v>
      </c>
      <c r="D1389" t="s">
        <v>1929</v>
      </c>
      <c r="E1389" s="17">
        <v>1.75</v>
      </c>
      <c r="F1389" t="s">
        <v>1930</v>
      </c>
      <c r="G1389">
        <v>0.5</v>
      </c>
      <c r="H1389">
        <v>0.25</v>
      </c>
      <c r="I1389">
        <v>1</v>
      </c>
      <c r="Q1389" s="1"/>
      <c r="R1389" s="1">
        <v>1.64</v>
      </c>
    </row>
    <row r="1390" spans="1:18" ht="15.75" customHeight="1" x14ac:dyDescent="0.25">
      <c r="A1390" s="2">
        <v>5443909</v>
      </c>
      <c r="B1390">
        <v>5443909</v>
      </c>
      <c r="C1390" t="str">
        <f>HYPERLINK("https://ois.dk/map/5443909/sfe", "Link")</f>
        <v>Link</v>
      </c>
      <c r="D1390" t="s">
        <v>1931</v>
      </c>
      <c r="E1390" s="17">
        <v>1.75</v>
      </c>
      <c r="F1390" t="s">
        <v>1932</v>
      </c>
      <c r="G1390">
        <v>0.5</v>
      </c>
      <c r="H1390">
        <v>0.25</v>
      </c>
      <c r="I1390">
        <v>1</v>
      </c>
      <c r="Q1390" s="1"/>
      <c r="R1390" s="1">
        <v>1.77</v>
      </c>
    </row>
    <row r="1391" spans="1:18" ht="15.75" customHeight="1" x14ac:dyDescent="0.25">
      <c r="A1391" s="2">
        <v>5443910</v>
      </c>
      <c r="B1391">
        <v>5443910</v>
      </c>
      <c r="C1391" t="str">
        <f>HYPERLINK("https://ois.dk/map/5443910/sfe", "Link")</f>
        <v>Link</v>
      </c>
      <c r="D1391" t="s">
        <v>1933</v>
      </c>
      <c r="E1391" s="17">
        <v>1.75</v>
      </c>
      <c r="F1391" t="s">
        <v>1934</v>
      </c>
      <c r="G1391">
        <v>0.5</v>
      </c>
      <c r="H1391">
        <v>0.25</v>
      </c>
      <c r="I1391">
        <v>1</v>
      </c>
      <c r="Q1391" s="1"/>
      <c r="R1391" s="1">
        <v>1.52</v>
      </c>
    </row>
    <row r="1392" spans="1:18" ht="15.75" customHeight="1" x14ac:dyDescent="0.25">
      <c r="A1392" s="2">
        <v>5443911</v>
      </c>
      <c r="B1392">
        <v>5443911</v>
      </c>
      <c r="C1392" t="str">
        <f>HYPERLINK("https://ois.dk/map/5443911/sfe", "Link")</f>
        <v>Link</v>
      </c>
      <c r="D1392" t="s">
        <v>1935</v>
      </c>
      <c r="E1392" s="17">
        <v>1.75</v>
      </c>
      <c r="F1392" t="s">
        <v>1936</v>
      </c>
      <c r="G1392">
        <v>0.5</v>
      </c>
      <c r="H1392">
        <v>0.25</v>
      </c>
      <c r="I1392">
        <v>1</v>
      </c>
      <c r="Q1392" s="1"/>
      <c r="R1392" s="1">
        <v>1.57</v>
      </c>
    </row>
    <row r="1393" spans="1:18" ht="15.75" customHeight="1" x14ac:dyDescent="0.25">
      <c r="A1393" s="2">
        <v>5443912</v>
      </c>
      <c r="B1393">
        <v>5443912</v>
      </c>
      <c r="C1393" t="str">
        <f>HYPERLINK("https://ois.dk/map/5443912/sfe", "Link")</f>
        <v>Link</v>
      </c>
      <c r="D1393" t="s">
        <v>1937</v>
      </c>
      <c r="E1393" s="17">
        <v>1.75</v>
      </c>
      <c r="F1393" t="s">
        <v>1938</v>
      </c>
      <c r="G1393">
        <v>0.5</v>
      </c>
      <c r="H1393">
        <v>0.25</v>
      </c>
      <c r="I1393">
        <v>1</v>
      </c>
      <c r="Q1393" s="1"/>
      <c r="R1393" s="1">
        <v>1.75</v>
      </c>
    </row>
    <row r="1394" spans="1:18" ht="15.75" customHeight="1" x14ac:dyDescent="0.25">
      <c r="A1394" s="2">
        <v>5443913</v>
      </c>
      <c r="B1394">
        <v>5443913</v>
      </c>
      <c r="C1394" t="str">
        <f>HYPERLINK("https://ois.dk/map/5443913/sfe", "Link")</f>
        <v>Link</v>
      </c>
      <c r="D1394" t="s">
        <v>1939</v>
      </c>
      <c r="E1394" s="17">
        <v>1.75</v>
      </c>
      <c r="F1394" t="s">
        <v>1940</v>
      </c>
      <c r="G1394">
        <v>0.5</v>
      </c>
      <c r="H1394">
        <v>0.25</v>
      </c>
      <c r="I1394">
        <v>1</v>
      </c>
      <c r="Q1394" s="1"/>
      <c r="R1394" s="1">
        <v>1.64</v>
      </c>
    </row>
    <row r="1395" spans="1:18" ht="15.75" customHeight="1" x14ac:dyDescent="0.25">
      <c r="A1395" s="2">
        <v>5443914</v>
      </c>
      <c r="B1395">
        <v>5443914</v>
      </c>
      <c r="C1395" t="str">
        <f>HYPERLINK("https://ois.dk/map/5443914/sfe", "Link")</f>
        <v>Link</v>
      </c>
      <c r="D1395" t="s">
        <v>1941</v>
      </c>
      <c r="E1395" s="17">
        <v>1.75</v>
      </c>
      <c r="F1395" t="s">
        <v>1942</v>
      </c>
      <c r="G1395">
        <v>0.5</v>
      </c>
      <c r="H1395">
        <v>0.25</v>
      </c>
      <c r="I1395">
        <v>1</v>
      </c>
      <c r="Q1395" s="1"/>
      <c r="R1395" s="1">
        <v>1.83</v>
      </c>
    </row>
    <row r="1396" spans="1:18" ht="15.75" customHeight="1" x14ac:dyDescent="0.25">
      <c r="A1396" s="2">
        <v>5443915</v>
      </c>
      <c r="B1396">
        <v>5443915</v>
      </c>
      <c r="C1396" t="str">
        <f>HYPERLINK("https://ois.dk/map/5443915/sfe", "Link")</f>
        <v>Link</v>
      </c>
      <c r="D1396" t="s">
        <v>1943</v>
      </c>
      <c r="E1396" s="17">
        <v>1.75</v>
      </c>
      <c r="F1396" t="s">
        <v>1944</v>
      </c>
      <c r="G1396">
        <v>0.5</v>
      </c>
      <c r="H1396">
        <v>0.25</v>
      </c>
      <c r="I1396">
        <v>1</v>
      </c>
      <c r="Q1396" s="1"/>
      <c r="R1396" s="1">
        <v>2.04</v>
      </c>
    </row>
    <row r="1397" spans="1:18" ht="15.75" customHeight="1" x14ac:dyDescent="0.25">
      <c r="A1397" s="2">
        <v>5443916</v>
      </c>
      <c r="B1397">
        <v>5443916</v>
      </c>
      <c r="C1397" t="str">
        <f>HYPERLINK("https://ois.dk/map/5443916/sfe", "Link")</f>
        <v>Link</v>
      </c>
      <c r="D1397" t="s">
        <v>1945</v>
      </c>
      <c r="E1397" s="17">
        <v>0.75</v>
      </c>
      <c r="F1397" t="s">
        <v>1946</v>
      </c>
      <c r="G1397">
        <v>0.5</v>
      </c>
      <c r="H1397">
        <v>0.25</v>
      </c>
      <c r="Q1397" s="1"/>
      <c r="R1397" s="1"/>
    </row>
    <row r="1398" spans="1:18" ht="15.75" customHeight="1" x14ac:dyDescent="0.25">
      <c r="A1398" s="2">
        <v>5443917</v>
      </c>
      <c r="B1398">
        <v>5443917</v>
      </c>
      <c r="C1398" t="str">
        <f>HYPERLINK("https://ois.dk/map/5443917/sfe", "Link")</f>
        <v>Link</v>
      </c>
      <c r="D1398" t="s">
        <v>1947</v>
      </c>
      <c r="E1398" s="17">
        <v>1.75</v>
      </c>
      <c r="F1398" t="s">
        <v>1948</v>
      </c>
      <c r="G1398">
        <v>0.5</v>
      </c>
      <c r="H1398">
        <v>0.25</v>
      </c>
      <c r="I1398">
        <v>1</v>
      </c>
      <c r="Q1398" s="1"/>
      <c r="R1398" s="1">
        <v>2.13</v>
      </c>
    </row>
    <row r="1399" spans="1:18" ht="15.75" customHeight="1" x14ac:dyDescent="0.25">
      <c r="A1399" s="2">
        <v>5443918</v>
      </c>
      <c r="B1399">
        <v>5443918</v>
      </c>
      <c r="C1399" t="str">
        <f>HYPERLINK("https://ois.dk/map/5443918/sfe", "Link")</f>
        <v>Link</v>
      </c>
      <c r="D1399" t="s">
        <v>1949</v>
      </c>
      <c r="E1399" s="17">
        <v>1.75</v>
      </c>
      <c r="F1399" t="s">
        <v>1950</v>
      </c>
      <c r="G1399">
        <v>0.5</v>
      </c>
      <c r="H1399">
        <v>0.25</v>
      </c>
      <c r="I1399">
        <v>1</v>
      </c>
      <c r="Q1399" s="1"/>
      <c r="R1399" s="1">
        <v>2.0299999999999998</v>
      </c>
    </row>
    <row r="1400" spans="1:18" ht="15.75" customHeight="1" x14ac:dyDescent="0.25">
      <c r="A1400" s="2">
        <v>5443919</v>
      </c>
      <c r="B1400">
        <v>5443919</v>
      </c>
      <c r="C1400" t="str">
        <f>HYPERLINK("https://ois.dk/map/5443919/sfe", "Link")</f>
        <v>Link</v>
      </c>
      <c r="D1400" t="s">
        <v>1951</v>
      </c>
      <c r="E1400" s="17">
        <v>1.75</v>
      </c>
      <c r="F1400" t="s">
        <v>1952</v>
      </c>
      <c r="G1400">
        <v>0.5</v>
      </c>
      <c r="H1400">
        <v>0.25</v>
      </c>
      <c r="I1400">
        <v>1</v>
      </c>
      <c r="Q1400" s="1"/>
      <c r="R1400" s="1">
        <v>1.43</v>
      </c>
    </row>
    <row r="1401" spans="1:18" ht="15.75" customHeight="1" x14ac:dyDescent="0.25">
      <c r="A1401" s="2">
        <v>5443920</v>
      </c>
      <c r="B1401">
        <v>5443920</v>
      </c>
      <c r="C1401" t="str">
        <f>HYPERLINK("https://ois.dk/map/5443920/sfe", "Link")</f>
        <v>Link</v>
      </c>
      <c r="D1401" t="s">
        <v>1953</v>
      </c>
      <c r="E1401" s="17">
        <v>0.5</v>
      </c>
      <c r="F1401" t="s">
        <v>1954</v>
      </c>
      <c r="G1401">
        <v>0.5</v>
      </c>
      <c r="Q1401" s="1"/>
      <c r="R1401" s="1"/>
    </row>
    <row r="1402" spans="1:18" ht="15.75" customHeight="1" x14ac:dyDescent="0.25">
      <c r="A1402" s="2">
        <v>5443921</v>
      </c>
      <c r="B1402">
        <v>5443921</v>
      </c>
      <c r="C1402" t="str">
        <f>HYPERLINK("https://ois.dk/map/5443921/sfe", "Link")</f>
        <v>Link</v>
      </c>
      <c r="D1402" t="s">
        <v>1955</v>
      </c>
      <c r="E1402" s="17">
        <v>0.75</v>
      </c>
      <c r="F1402" t="s">
        <v>1956</v>
      </c>
      <c r="G1402">
        <v>0.5</v>
      </c>
      <c r="H1402">
        <v>0.25</v>
      </c>
      <c r="Q1402" s="1"/>
      <c r="R1402" s="1"/>
    </row>
    <row r="1403" spans="1:18" ht="15.75" customHeight="1" x14ac:dyDescent="0.25">
      <c r="A1403" s="2">
        <v>5443922</v>
      </c>
      <c r="B1403">
        <v>5443922</v>
      </c>
      <c r="C1403" t="str">
        <f>HYPERLINK("https://ois.dk/map/5443922/sfe", "Link")</f>
        <v>Link</v>
      </c>
      <c r="D1403" t="s">
        <v>1957</v>
      </c>
      <c r="E1403" s="17">
        <v>0.75</v>
      </c>
      <c r="F1403" t="s">
        <v>1958</v>
      </c>
      <c r="G1403">
        <v>0.5</v>
      </c>
      <c r="H1403">
        <v>0.25</v>
      </c>
      <c r="Q1403" s="1"/>
      <c r="R1403" s="1"/>
    </row>
    <row r="1404" spans="1:18" ht="15.75" customHeight="1" x14ac:dyDescent="0.25">
      <c r="A1404" s="2">
        <v>5443931</v>
      </c>
      <c r="B1404">
        <v>5443931</v>
      </c>
      <c r="C1404" t="str">
        <f>HYPERLINK("https://ois.dk/map/5443931/sfe", "Link")</f>
        <v>Link</v>
      </c>
      <c r="D1404" t="s">
        <v>1959</v>
      </c>
      <c r="E1404" s="17">
        <v>0.5</v>
      </c>
      <c r="G1404">
        <v>0.5</v>
      </c>
      <c r="Q1404" s="1"/>
      <c r="R1404" s="1"/>
    </row>
    <row r="1405" spans="1:18" ht="15.75" customHeight="1" x14ac:dyDescent="0.25">
      <c r="A1405" s="2">
        <v>5443932</v>
      </c>
      <c r="B1405">
        <v>5443932</v>
      </c>
      <c r="C1405" t="str">
        <f>HYPERLINK("https://ois.dk/map/5443932/sfe", "Link")</f>
        <v>Link</v>
      </c>
      <c r="D1405" t="s">
        <v>1960</v>
      </c>
      <c r="E1405" s="17">
        <v>0.5</v>
      </c>
      <c r="G1405">
        <v>0.5</v>
      </c>
      <c r="Q1405" s="1"/>
      <c r="R1405" s="1"/>
    </row>
    <row r="1406" spans="1:18" ht="15.75" customHeight="1" x14ac:dyDescent="0.25">
      <c r="A1406" s="2">
        <v>5443934</v>
      </c>
      <c r="B1406">
        <v>5443934</v>
      </c>
      <c r="C1406" t="str">
        <f t="shared" ref="C1406:C1441" si="42">HYPERLINK("https://ois.dk/map/5443934/sfe", "Link")</f>
        <v>Link</v>
      </c>
      <c r="D1406" t="s">
        <v>330</v>
      </c>
      <c r="E1406" s="17">
        <v>0.5</v>
      </c>
      <c r="F1406" t="s">
        <v>1961</v>
      </c>
      <c r="G1406">
        <v>0.5</v>
      </c>
      <c r="Q1406" s="1"/>
      <c r="R1406" s="1"/>
    </row>
    <row r="1407" spans="1:18" ht="15.75" customHeight="1" x14ac:dyDescent="0.25">
      <c r="A1407" s="2">
        <v>5443934</v>
      </c>
      <c r="B1407">
        <v>5443934</v>
      </c>
      <c r="C1407" t="str">
        <f t="shared" si="42"/>
        <v>Link</v>
      </c>
      <c r="D1407" t="s">
        <v>330</v>
      </c>
      <c r="E1407" s="17">
        <v>0.5</v>
      </c>
      <c r="F1407" t="s">
        <v>1962</v>
      </c>
      <c r="G1407">
        <v>0.5</v>
      </c>
      <c r="Q1407" s="1"/>
      <c r="R1407" s="1"/>
    </row>
    <row r="1408" spans="1:18" ht="15.75" customHeight="1" x14ac:dyDescent="0.25">
      <c r="A1408" s="2">
        <v>5443934</v>
      </c>
      <c r="B1408">
        <v>5443934</v>
      </c>
      <c r="C1408" t="str">
        <f t="shared" si="42"/>
        <v>Link</v>
      </c>
      <c r="D1408" t="s">
        <v>330</v>
      </c>
      <c r="E1408" s="17">
        <v>0.5</v>
      </c>
      <c r="F1408" t="s">
        <v>1963</v>
      </c>
      <c r="G1408">
        <v>0.5</v>
      </c>
      <c r="Q1408" s="1"/>
      <c r="R1408" s="1"/>
    </row>
    <row r="1409" spans="1:18" ht="15.75" customHeight="1" x14ac:dyDescent="0.25">
      <c r="A1409" s="2">
        <v>5443934</v>
      </c>
      <c r="B1409">
        <v>5443934</v>
      </c>
      <c r="C1409" t="str">
        <f t="shared" si="42"/>
        <v>Link</v>
      </c>
      <c r="D1409" t="s">
        <v>330</v>
      </c>
      <c r="E1409" s="17">
        <v>0.5</v>
      </c>
      <c r="F1409" t="s">
        <v>1964</v>
      </c>
      <c r="G1409">
        <v>0.5</v>
      </c>
      <c r="Q1409" s="1"/>
      <c r="R1409" s="1"/>
    </row>
    <row r="1410" spans="1:18" ht="15.75" customHeight="1" x14ac:dyDescent="0.25">
      <c r="A1410" s="2">
        <v>5443934</v>
      </c>
      <c r="B1410">
        <v>5443934</v>
      </c>
      <c r="C1410" t="str">
        <f t="shared" si="42"/>
        <v>Link</v>
      </c>
      <c r="D1410" t="s">
        <v>330</v>
      </c>
      <c r="E1410" s="17">
        <v>0.5</v>
      </c>
      <c r="F1410" t="s">
        <v>1965</v>
      </c>
      <c r="G1410">
        <v>0.5</v>
      </c>
      <c r="Q1410" s="1"/>
      <c r="R1410" s="1"/>
    </row>
    <row r="1411" spans="1:18" ht="15.75" customHeight="1" x14ac:dyDescent="0.25">
      <c r="A1411" s="2">
        <v>5443934</v>
      </c>
      <c r="B1411">
        <v>5443934</v>
      </c>
      <c r="C1411" t="str">
        <f t="shared" si="42"/>
        <v>Link</v>
      </c>
      <c r="D1411" t="s">
        <v>330</v>
      </c>
      <c r="E1411" s="17">
        <v>0.5</v>
      </c>
      <c r="F1411" t="s">
        <v>1966</v>
      </c>
      <c r="G1411">
        <v>0.5</v>
      </c>
      <c r="Q1411" s="1"/>
      <c r="R1411" s="1"/>
    </row>
    <row r="1412" spans="1:18" ht="15.75" customHeight="1" x14ac:dyDescent="0.25">
      <c r="A1412" s="2">
        <v>5443934</v>
      </c>
      <c r="B1412">
        <v>5443934</v>
      </c>
      <c r="C1412" t="str">
        <f t="shared" si="42"/>
        <v>Link</v>
      </c>
      <c r="D1412" t="s">
        <v>330</v>
      </c>
      <c r="E1412" s="17">
        <v>0.5</v>
      </c>
      <c r="F1412" t="s">
        <v>1967</v>
      </c>
      <c r="G1412">
        <v>0.5</v>
      </c>
      <c r="Q1412" s="1"/>
      <c r="R1412" s="1"/>
    </row>
    <row r="1413" spans="1:18" ht="15.75" customHeight="1" x14ac:dyDescent="0.25">
      <c r="A1413" s="2">
        <v>5443934</v>
      </c>
      <c r="B1413">
        <v>5443934</v>
      </c>
      <c r="C1413" t="str">
        <f t="shared" si="42"/>
        <v>Link</v>
      </c>
      <c r="D1413" t="s">
        <v>330</v>
      </c>
      <c r="E1413" s="17">
        <v>0.5</v>
      </c>
      <c r="F1413" t="s">
        <v>1968</v>
      </c>
      <c r="G1413">
        <v>0.5</v>
      </c>
      <c r="Q1413" s="1"/>
      <c r="R1413" s="1"/>
    </row>
    <row r="1414" spans="1:18" ht="15.75" customHeight="1" x14ac:dyDescent="0.25">
      <c r="A1414" s="2">
        <v>5443934</v>
      </c>
      <c r="B1414">
        <v>5443934</v>
      </c>
      <c r="C1414" t="str">
        <f t="shared" si="42"/>
        <v>Link</v>
      </c>
      <c r="D1414" t="s">
        <v>330</v>
      </c>
      <c r="E1414" s="17">
        <v>0.5</v>
      </c>
      <c r="F1414" t="s">
        <v>1969</v>
      </c>
      <c r="G1414">
        <v>0.5</v>
      </c>
      <c r="Q1414" s="1"/>
      <c r="R1414" s="1"/>
    </row>
    <row r="1415" spans="1:18" ht="15.75" customHeight="1" x14ac:dyDescent="0.25">
      <c r="A1415" s="2">
        <v>5443934</v>
      </c>
      <c r="B1415">
        <v>5443934</v>
      </c>
      <c r="C1415" t="str">
        <f t="shared" si="42"/>
        <v>Link</v>
      </c>
      <c r="D1415" t="s">
        <v>330</v>
      </c>
      <c r="E1415" s="17">
        <v>0.5</v>
      </c>
      <c r="F1415" t="s">
        <v>1970</v>
      </c>
      <c r="G1415">
        <v>0.5</v>
      </c>
      <c r="Q1415" s="1"/>
      <c r="R1415" s="1"/>
    </row>
    <row r="1416" spans="1:18" ht="15.75" customHeight="1" x14ac:dyDescent="0.25">
      <c r="A1416" s="2">
        <v>5443934</v>
      </c>
      <c r="B1416">
        <v>5443934</v>
      </c>
      <c r="C1416" t="str">
        <f t="shared" si="42"/>
        <v>Link</v>
      </c>
      <c r="D1416" t="s">
        <v>330</v>
      </c>
      <c r="E1416" s="17">
        <v>0.5</v>
      </c>
      <c r="F1416" t="s">
        <v>1971</v>
      </c>
      <c r="G1416">
        <v>0.5</v>
      </c>
      <c r="Q1416" s="1"/>
      <c r="R1416" s="1"/>
    </row>
    <row r="1417" spans="1:18" ht="15.75" customHeight="1" x14ac:dyDescent="0.25">
      <c r="A1417" s="2">
        <v>5443934</v>
      </c>
      <c r="B1417">
        <v>5443934</v>
      </c>
      <c r="C1417" t="str">
        <f t="shared" si="42"/>
        <v>Link</v>
      </c>
      <c r="D1417" t="s">
        <v>330</v>
      </c>
      <c r="E1417" s="17">
        <v>0.5</v>
      </c>
      <c r="F1417" t="s">
        <v>1972</v>
      </c>
      <c r="G1417">
        <v>0.5</v>
      </c>
      <c r="Q1417" s="1"/>
      <c r="R1417" s="1"/>
    </row>
    <row r="1418" spans="1:18" ht="15.75" customHeight="1" x14ac:dyDescent="0.25">
      <c r="A1418" s="2">
        <v>5443934</v>
      </c>
      <c r="B1418">
        <v>5443934</v>
      </c>
      <c r="C1418" t="str">
        <f t="shared" si="42"/>
        <v>Link</v>
      </c>
      <c r="D1418" t="s">
        <v>330</v>
      </c>
      <c r="E1418" s="17">
        <v>0.5</v>
      </c>
      <c r="F1418" t="s">
        <v>1973</v>
      </c>
      <c r="G1418">
        <v>0.5</v>
      </c>
      <c r="Q1418" s="1"/>
      <c r="R1418" s="1"/>
    </row>
    <row r="1419" spans="1:18" ht="15.75" customHeight="1" x14ac:dyDescent="0.25">
      <c r="A1419" s="2">
        <v>5443934</v>
      </c>
      <c r="B1419">
        <v>5443934</v>
      </c>
      <c r="C1419" t="str">
        <f t="shared" si="42"/>
        <v>Link</v>
      </c>
      <c r="D1419" t="s">
        <v>330</v>
      </c>
      <c r="E1419" s="17">
        <v>0.5</v>
      </c>
      <c r="F1419" t="s">
        <v>1974</v>
      </c>
      <c r="G1419">
        <v>0.5</v>
      </c>
      <c r="Q1419" s="1"/>
      <c r="R1419" s="1"/>
    </row>
    <row r="1420" spans="1:18" ht="15.75" customHeight="1" x14ac:dyDescent="0.25">
      <c r="A1420" s="2">
        <v>5443934</v>
      </c>
      <c r="B1420">
        <v>5443934</v>
      </c>
      <c r="C1420" t="str">
        <f t="shared" si="42"/>
        <v>Link</v>
      </c>
      <c r="D1420" t="s">
        <v>330</v>
      </c>
      <c r="E1420" s="17">
        <v>0.5</v>
      </c>
      <c r="F1420" t="s">
        <v>1975</v>
      </c>
      <c r="G1420">
        <v>0.5</v>
      </c>
      <c r="Q1420" s="1"/>
      <c r="R1420" s="1"/>
    </row>
    <row r="1421" spans="1:18" ht="15.75" customHeight="1" x14ac:dyDescent="0.25">
      <c r="A1421" s="2">
        <v>5443934</v>
      </c>
      <c r="B1421">
        <v>5443934</v>
      </c>
      <c r="C1421" t="str">
        <f t="shared" si="42"/>
        <v>Link</v>
      </c>
      <c r="D1421" t="s">
        <v>330</v>
      </c>
      <c r="E1421" s="17">
        <v>0.5</v>
      </c>
      <c r="F1421" t="s">
        <v>1976</v>
      </c>
      <c r="G1421">
        <v>0.5</v>
      </c>
      <c r="Q1421" s="1"/>
      <c r="R1421" s="1"/>
    </row>
    <row r="1422" spans="1:18" ht="15.75" customHeight="1" x14ac:dyDescent="0.25">
      <c r="A1422" s="2">
        <v>5443934</v>
      </c>
      <c r="B1422">
        <v>5443934</v>
      </c>
      <c r="C1422" t="str">
        <f t="shared" si="42"/>
        <v>Link</v>
      </c>
      <c r="D1422" t="s">
        <v>330</v>
      </c>
      <c r="E1422" s="17">
        <v>0.5</v>
      </c>
      <c r="F1422" t="s">
        <v>1977</v>
      </c>
      <c r="G1422">
        <v>0.5</v>
      </c>
      <c r="Q1422" s="1"/>
      <c r="R1422" s="1"/>
    </row>
    <row r="1423" spans="1:18" ht="15.75" customHeight="1" x14ac:dyDescent="0.25">
      <c r="A1423" s="2">
        <v>5443934</v>
      </c>
      <c r="B1423">
        <v>5443934</v>
      </c>
      <c r="C1423" t="str">
        <f t="shared" si="42"/>
        <v>Link</v>
      </c>
      <c r="D1423" t="s">
        <v>330</v>
      </c>
      <c r="E1423" s="17">
        <v>0.5</v>
      </c>
      <c r="F1423" t="s">
        <v>1978</v>
      </c>
      <c r="G1423">
        <v>0.5</v>
      </c>
      <c r="Q1423" s="1"/>
      <c r="R1423" s="1"/>
    </row>
    <row r="1424" spans="1:18" ht="15.75" customHeight="1" x14ac:dyDescent="0.25">
      <c r="A1424" s="2">
        <v>5443934</v>
      </c>
      <c r="B1424">
        <v>5443934</v>
      </c>
      <c r="C1424" t="str">
        <f t="shared" si="42"/>
        <v>Link</v>
      </c>
      <c r="D1424" t="s">
        <v>330</v>
      </c>
      <c r="E1424" s="17">
        <v>0.5</v>
      </c>
      <c r="F1424" t="s">
        <v>1979</v>
      </c>
      <c r="G1424">
        <v>0.5</v>
      </c>
      <c r="Q1424" s="1"/>
      <c r="R1424" s="1"/>
    </row>
    <row r="1425" spans="1:18" ht="15.75" customHeight="1" x14ac:dyDescent="0.25">
      <c r="A1425" s="2">
        <v>5443934</v>
      </c>
      <c r="B1425">
        <v>5443934</v>
      </c>
      <c r="C1425" t="str">
        <f t="shared" si="42"/>
        <v>Link</v>
      </c>
      <c r="D1425" t="s">
        <v>330</v>
      </c>
      <c r="E1425" s="17">
        <v>0.5</v>
      </c>
      <c r="F1425" t="s">
        <v>1980</v>
      </c>
      <c r="G1425">
        <v>0.5</v>
      </c>
      <c r="Q1425" s="1"/>
      <c r="R1425" s="1"/>
    </row>
    <row r="1426" spans="1:18" ht="15.75" customHeight="1" x14ac:dyDescent="0.25">
      <c r="A1426" s="2">
        <v>5443934</v>
      </c>
      <c r="B1426">
        <v>5443934</v>
      </c>
      <c r="C1426" t="str">
        <f t="shared" si="42"/>
        <v>Link</v>
      </c>
      <c r="D1426" t="s">
        <v>330</v>
      </c>
      <c r="E1426" s="17">
        <v>0.5</v>
      </c>
      <c r="F1426" t="s">
        <v>1981</v>
      </c>
      <c r="G1426">
        <v>0.5</v>
      </c>
      <c r="Q1426" s="1"/>
      <c r="R1426" s="1"/>
    </row>
    <row r="1427" spans="1:18" ht="15.75" customHeight="1" x14ac:dyDescent="0.25">
      <c r="A1427" s="2">
        <v>5443934</v>
      </c>
      <c r="B1427">
        <v>5443934</v>
      </c>
      <c r="C1427" t="str">
        <f t="shared" si="42"/>
        <v>Link</v>
      </c>
      <c r="D1427" t="s">
        <v>330</v>
      </c>
      <c r="E1427" s="17">
        <v>0.5</v>
      </c>
      <c r="F1427" t="s">
        <v>1982</v>
      </c>
      <c r="G1427">
        <v>0.5</v>
      </c>
      <c r="Q1427" s="1"/>
      <c r="R1427" s="1"/>
    </row>
    <row r="1428" spans="1:18" ht="15.75" customHeight="1" x14ac:dyDescent="0.25">
      <c r="A1428" s="2">
        <v>5443934</v>
      </c>
      <c r="B1428">
        <v>5443934</v>
      </c>
      <c r="C1428" t="str">
        <f t="shared" si="42"/>
        <v>Link</v>
      </c>
      <c r="D1428" t="s">
        <v>330</v>
      </c>
      <c r="E1428" s="17">
        <v>0.5</v>
      </c>
      <c r="F1428" t="s">
        <v>1983</v>
      </c>
      <c r="G1428">
        <v>0.5</v>
      </c>
      <c r="Q1428" s="1"/>
      <c r="R1428" s="1"/>
    </row>
    <row r="1429" spans="1:18" ht="15.75" customHeight="1" x14ac:dyDescent="0.25">
      <c r="A1429" s="2">
        <v>5443934</v>
      </c>
      <c r="B1429">
        <v>5443934</v>
      </c>
      <c r="C1429" t="str">
        <f t="shared" si="42"/>
        <v>Link</v>
      </c>
      <c r="D1429" t="s">
        <v>330</v>
      </c>
      <c r="E1429" s="17">
        <v>0.5</v>
      </c>
      <c r="F1429" t="s">
        <v>1984</v>
      </c>
      <c r="G1429">
        <v>0.5</v>
      </c>
      <c r="Q1429" s="1"/>
      <c r="R1429" s="1"/>
    </row>
    <row r="1430" spans="1:18" ht="15.75" customHeight="1" x14ac:dyDescent="0.25">
      <c r="A1430" s="2">
        <v>5443934</v>
      </c>
      <c r="B1430">
        <v>5443934</v>
      </c>
      <c r="C1430" t="str">
        <f t="shared" si="42"/>
        <v>Link</v>
      </c>
      <c r="D1430" t="s">
        <v>330</v>
      </c>
      <c r="E1430" s="17">
        <v>0.5</v>
      </c>
      <c r="F1430" t="s">
        <v>1985</v>
      </c>
      <c r="G1430">
        <v>0.5</v>
      </c>
      <c r="Q1430" s="1"/>
      <c r="R1430" s="1"/>
    </row>
    <row r="1431" spans="1:18" ht="15.75" customHeight="1" x14ac:dyDescent="0.25">
      <c r="A1431" s="2">
        <v>5443934</v>
      </c>
      <c r="B1431">
        <v>5443934</v>
      </c>
      <c r="C1431" t="str">
        <f t="shared" si="42"/>
        <v>Link</v>
      </c>
      <c r="D1431" t="s">
        <v>330</v>
      </c>
      <c r="E1431" s="17">
        <v>0.5</v>
      </c>
      <c r="F1431" t="s">
        <v>1986</v>
      </c>
      <c r="G1431">
        <v>0.5</v>
      </c>
      <c r="Q1431" s="1"/>
      <c r="R1431" s="1"/>
    </row>
    <row r="1432" spans="1:18" ht="15.75" customHeight="1" x14ac:dyDescent="0.25">
      <c r="A1432" s="2">
        <v>5443934</v>
      </c>
      <c r="B1432">
        <v>5443934</v>
      </c>
      <c r="C1432" t="str">
        <f t="shared" si="42"/>
        <v>Link</v>
      </c>
      <c r="D1432" t="s">
        <v>330</v>
      </c>
      <c r="E1432" s="17">
        <v>0.5</v>
      </c>
      <c r="F1432" t="s">
        <v>1987</v>
      </c>
      <c r="G1432">
        <v>0.5</v>
      </c>
      <c r="Q1432" s="1"/>
      <c r="R1432" s="1"/>
    </row>
    <row r="1433" spans="1:18" ht="15.75" customHeight="1" x14ac:dyDescent="0.25">
      <c r="A1433" s="2">
        <v>5443934</v>
      </c>
      <c r="B1433">
        <v>5443934</v>
      </c>
      <c r="C1433" t="str">
        <f t="shared" si="42"/>
        <v>Link</v>
      </c>
      <c r="D1433" t="s">
        <v>330</v>
      </c>
      <c r="E1433" s="17">
        <v>0.5</v>
      </c>
      <c r="F1433" t="s">
        <v>1988</v>
      </c>
      <c r="G1433">
        <v>0.5</v>
      </c>
      <c r="Q1433" s="1"/>
      <c r="R1433" s="1"/>
    </row>
    <row r="1434" spans="1:18" ht="15.75" customHeight="1" x14ac:dyDescent="0.25">
      <c r="A1434" s="2">
        <v>5443934</v>
      </c>
      <c r="B1434">
        <v>5443934</v>
      </c>
      <c r="C1434" t="str">
        <f t="shared" si="42"/>
        <v>Link</v>
      </c>
      <c r="D1434" t="s">
        <v>330</v>
      </c>
      <c r="E1434" s="17">
        <v>0.5</v>
      </c>
      <c r="F1434" t="s">
        <v>1989</v>
      </c>
      <c r="G1434">
        <v>0.5</v>
      </c>
      <c r="Q1434" s="1"/>
      <c r="R1434" s="1"/>
    </row>
    <row r="1435" spans="1:18" ht="15.75" customHeight="1" x14ac:dyDescent="0.25">
      <c r="A1435" s="2">
        <v>5443934</v>
      </c>
      <c r="B1435">
        <v>5443934</v>
      </c>
      <c r="C1435" t="str">
        <f t="shared" si="42"/>
        <v>Link</v>
      </c>
      <c r="D1435" t="s">
        <v>330</v>
      </c>
      <c r="E1435" s="17">
        <v>0.5</v>
      </c>
      <c r="F1435" t="s">
        <v>1990</v>
      </c>
      <c r="G1435">
        <v>0.5</v>
      </c>
      <c r="Q1435" s="1"/>
      <c r="R1435" s="1"/>
    </row>
    <row r="1436" spans="1:18" ht="15.75" customHeight="1" x14ac:dyDescent="0.25">
      <c r="A1436" s="2">
        <v>5443934</v>
      </c>
      <c r="B1436">
        <v>5443934</v>
      </c>
      <c r="C1436" t="str">
        <f t="shared" si="42"/>
        <v>Link</v>
      </c>
      <c r="D1436" t="s">
        <v>330</v>
      </c>
      <c r="E1436" s="17">
        <v>0.5</v>
      </c>
      <c r="F1436" t="s">
        <v>1991</v>
      </c>
      <c r="G1436">
        <v>0.5</v>
      </c>
      <c r="Q1436" s="1"/>
      <c r="R1436" s="1"/>
    </row>
    <row r="1437" spans="1:18" ht="15.75" customHeight="1" x14ac:dyDescent="0.25">
      <c r="A1437" s="2">
        <v>5443934</v>
      </c>
      <c r="B1437">
        <v>5443934</v>
      </c>
      <c r="C1437" t="str">
        <f t="shared" si="42"/>
        <v>Link</v>
      </c>
      <c r="D1437" t="s">
        <v>330</v>
      </c>
      <c r="E1437" s="17">
        <v>0.5</v>
      </c>
      <c r="F1437" t="s">
        <v>1992</v>
      </c>
      <c r="G1437">
        <v>0.5</v>
      </c>
      <c r="Q1437" s="1"/>
      <c r="R1437" s="1"/>
    </row>
    <row r="1438" spans="1:18" ht="15.75" customHeight="1" x14ac:dyDescent="0.25">
      <c r="A1438" s="2">
        <v>5443934</v>
      </c>
      <c r="B1438">
        <v>5443934</v>
      </c>
      <c r="C1438" t="str">
        <f t="shared" si="42"/>
        <v>Link</v>
      </c>
      <c r="D1438" t="s">
        <v>330</v>
      </c>
      <c r="E1438" s="17">
        <v>0.5</v>
      </c>
      <c r="F1438" t="s">
        <v>1993</v>
      </c>
      <c r="G1438">
        <v>0.5</v>
      </c>
      <c r="Q1438" s="1"/>
      <c r="R1438" s="1"/>
    </row>
    <row r="1439" spans="1:18" ht="15.75" customHeight="1" x14ac:dyDescent="0.25">
      <c r="A1439" s="2">
        <v>5443934</v>
      </c>
      <c r="B1439">
        <v>5443934</v>
      </c>
      <c r="C1439" t="str">
        <f t="shared" si="42"/>
        <v>Link</v>
      </c>
      <c r="D1439" t="s">
        <v>330</v>
      </c>
      <c r="E1439" s="17">
        <v>0.5</v>
      </c>
      <c r="F1439" t="s">
        <v>1994</v>
      </c>
      <c r="G1439">
        <v>0.5</v>
      </c>
      <c r="Q1439" s="1"/>
      <c r="R1439" s="1"/>
    </row>
    <row r="1440" spans="1:18" ht="15.75" customHeight="1" x14ac:dyDescent="0.25">
      <c r="A1440" s="2">
        <v>5443934</v>
      </c>
      <c r="B1440">
        <v>5443934</v>
      </c>
      <c r="C1440" t="str">
        <f t="shared" si="42"/>
        <v>Link</v>
      </c>
      <c r="D1440" t="s">
        <v>330</v>
      </c>
      <c r="E1440" s="17">
        <v>0.5</v>
      </c>
      <c r="F1440" t="s">
        <v>1995</v>
      </c>
      <c r="G1440">
        <v>0.5</v>
      </c>
      <c r="Q1440" s="1"/>
      <c r="R1440" s="1"/>
    </row>
    <row r="1441" spans="1:18" ht="15.75" customHeight="1" x14ac:dyDescent="0.25">
      <c r="A1441" s="2">
        <v>5443934</v>
      </c>
      <c r="B1441">
        <v>5443934</v>
      </c>
      <c r="C1441" t="str">
        <f t="shared" si="42"/>
        <v>Link</v>
      </c>
      <c r="D1441" t="s">
        <v>330</v>
      </c>
      <c r="E1441" s="17">
        <v>0.5</v>
      </c>
      <c r="F1441" t="s">
        <v>1996</v>
      </c>
      <c r="G1441">
        <v>0.5</v>
      </c>
      <c r="Q1441" s="1"/>
      <c r="R1441" s="1"/>
    </row>
    <row r="1442" spans="1:18" ht="15.75" customHeight="1" x14ac:dyDescent="0.25">
      <c r="A1442" s="2">
        <v>5443938</v>
      </c>
      <c r="B1442">
        <v>287616</v>
      </c>
      <c r="C1442" t="str">
        <f>HYPERLINK("https://ois.dk/map/287616/sfe", "Link")</f>
        <v>Link</v>
      </c>
      <c r="D1442" t="s">
        <v>1997</v>
      </c>
      <c r="E1442" s="17">
        <v>0.5</v>
      </c>
      <c r="F1442" t="s">
        <v>1998</v>
      </c>
      <c r="G1442">
        <v>0.5</v>
      </c>
      <c r="Q1442" s="1"/>
      <c r="R1442" s="1"/>
    </row>
    <row r="1443" spans="1:18" ht="15.75" customHeight="1" x14ac:dyDescent="0.25">
      <c r="A1443" s="2">
        <v>5443938</v>
      </c>
      <c r="B1443">
        <v>287617</v>
      </c>
      <c r="C1443" t="str">
        <f t="shared" ref="C1443:C1472" si="43">HYPERLINK("https://ois.dk/map/287617/sfe", "Link")</f>
        <v>Link</v>
      </c>
      <c r="D1443" t="s">
        <v>1997</v>
      </c>
      <c r="E1443" s="17">
        <v>0.5</v>
      </c>
      <c r="F1443" t="s">
        <v>1999</v>
      </c>
      <c r="G1443">
        <v>0.5</v>
      </c>
      <c r="Q1443" s="1"/>
      <c r="R1443" s="1"/>
    </row>
    <row r="1444" spans="1:18" ht="15.75" customHeight="1" x14ac:dyDescent="0.25">
      <c r="A1444" s="2">
        <v>5443938</v>
      </c>
      <c r="B1444">
        <v>287617</v>
      </c>
      <c r="C1444" t="str">
        <f t="shared" si="43"/>
        <v>Link</v>
      </c>
      <c r="D1444" t="s">
        <v>1997</v>
      </c>
      <c r="E1444" s="17">
        <v>0.5</v>
      </c>
      <c r="F1444" t="s">
        <v>2000</v>
      </c>
      <c r="G1444">
        <v>0.5</v>
      </c>
      <c r="Q1444" s="1"/>
      <c r="R1444" s="1"/>
    </row>
    <row r="1445" spans="1:18" ht="15.75" customHeight="1" x14ac:dyDescent="0.25">
      <c r="A1445" s="2">
        <v>5443938</v>
      </c>
      <c r="B1445">
        <v>287617</v>
      </c>
      <c r="C1445" t="str">
        <f t="shared" si="43"/>
        <v>Link</v>
      </c>
      <c r="D1445" t="s">
        <v>1997</v>
      </c>
      <c r="E1445" s="17">
        <v>0.5</v>
      </c>
      <c r="F1445" t="s">
        <v>2001</v>
      </c>
      <c r="G1445">
        <v>0.5</v>
      </c>
      <c r="Q1445" s="1"/>
      <c r="R1445" s="1"/>
    </row>
    <row r="1446" spans="1:18" ht="15.75" customHeight="1" x14ac:dyDescent="0.25">
      <c r="A1446" s="2">
        <v>5443938</v>
      </c>
      <c r="B1446">
        <v>287617</v>
      </c>
      <c r="C1446" t="str">
        <f t="shared" si="43"/>
        <v>Link</v>
      </c>
      <c r="D1446" t="s">
        <v>1997</v>
      </c>
      <c r="E1446" s="17">
        <v>0.5</v>
      </c>
      <c r="F1446" t="s">
        <v>2002</v>
      </c>
      <c r="G1446">
        <v>0.5</v>
      </c>
      <c r="Q1446" s="1"/>
      <c r="R1446" s="1"/>
    </row>
    <row r="1447" spans="1:18" ht="15.75" customHeight="1" x14ac:dyDescent="0.25">
      <c r="A1447" s="2">
        <v>5443938</v>
      </c>
      <c r="B1447">
        <v>287617</v>
      </c>
      <c r="C1447" t="str">
        <f t="shared" si="43"/>
        <v>Link</v>
      </c>
      <c r="D1447" t="s">
        <v>1997</v>
      </c>
      <c r="E1447" s="17">
        <v>0.5</v>
      </c>
      <c r="F1447" t="s">
        <v>2003</v>
      </c>
      <c r="G1447">
        <v>0.5</v>
      </c>
      <c r="Q1447" s="1"/>
      <c r="R1447" s="1"/>
    </row>
    <row r="1448" spans="1:18" ht="15.75" customHeight="1" x14ac:dyDescent="0.25">
      <c r="A1448" s="2">
        <v>5443938</v>
      </c>
      <c r="B1448">
        <v>287617</v>
      </c>
      <c r="C1448" t="str">
        <f t="shared" si="43"/>
        <v>Link</v>
      </c>
      <c r="D1448" t="s">
        <v>1997</v>
      </c>
      <c r="E1448" s="17">
        <v>0.5</v>
      </c>
      <c r="F1448" t="s">
        <v>2004</v>
      </c>
      <c r="G1448">
        <v>0.5</v>
      </c>
      <c r="Q1448" s="1"/>
      <c r="R1448" s="1"/>
    </row>
    <row r="1449" spans="1:18" ht="15.75" customHeight="1" x14ac:dyDescent="0.25">
      <c r="A1449" s="2">
        <v>5443938</v>
      </c>
      <c r="B1449">
        <v>287617</v>
      </c>
      <c r="C1449" t="str">
        <f t="shared" si="43"/>
        <v>Link</v>
      </c>
      <c r="D1449" t="s">
        <v>1997</v>
      </c>
      <c r="E1449" s="17">
        <v>0.5</v>
      </c>
      <c r="F1449" t="s">
        <v>2005</v>
      </c>
      <c r="G1449">
        <v>0.5</v>
      </c>
      <c r="Q1449" s="1"/>
      <c r="R1449" s="1"/>
    </row>
    <row r="1450" spans="1:18" ht="15.75" customHeight="1" x14ac:dyDescent="0.25">
      <c r="A1450" s="2">
        <v>5443938</v>
      </c>
      <c r="B1450">
        <v>287617</v>
      </c>
      <c r="C1450" t="str">
        <f t="shared" si="43"/>
        <v>Link</v>
      </c>
      <c r="D1450" t="s">
        <v>1997</v>
      </c>
      <c r="E1450" s="17">
        <v>0.5</v>
      </c>
      <c r="F1450" t="s">
        <v>2006</v>
      </c>
      <c r="G1450">
        <v>0.5</v>
      </c>
      <c r="Q1450" s="1"/>
      <c r="R1450" s="1"/>
    </row>
    <row r="1451" spans="1:18" ht="15.75" customHeight="1" x14ac:dyDescent="0.25">
      <c r="A1451" s="2">
        <v>5443938</v>
      </c>
      <c r="B1451">
        <v>287617</v>
      </c>
      <c r="C1451" t="str">
        <f t="shared" si="43"/>
        <v>Link</v>
      </c>
      <c r="D1451" t="s">
        <v>1997</v>
      </c>
      <c r="E1451" s="17">
        <v>0.5</v>
      </c>
      <c r="F1451" t="s">
        <v>2007</v>
      </c>
      <c r="G1451">
        <v>0.5</v>
      </c>
      <c r="Q1451" s="1"/>
      <c r="R1451" s="1"/>
    </row>
    <row r="1452" spans="1:18" ht="15.75" customHeight="1" x14ac:dyDescent="0.25">
      <c r="A1452" s="2">
        <v>5443938</v>
      </c>
      <c r="B1452">
        <v>287617</v>
      </c>
      <c r="C1452" t="str">
        <f t="shared" si="43"/>
        <v>Link</v>
      </c>
      <c r="D1452" t="s">
        <v>1997</v>
      </c>
      <c r="E1452" s="17">
        <v>0.5</v>
      </c>
      <c r="F1452" t="s">
        <v>2008</v>
      </c>
      <c r="G1452">
        <v>0.5</v>
      </c>
      <c r="Q1452" s="1"/>
      <c r="R1452" s="1"/>
    </row>
    <row r="1453" spans="1:18" ht="15.75" customHeight="1" x14ac:dyDescent="0.25">
      <c r="A1453" s="2">
        <v>5443938</v>
      </c>
      <c r="B1453">
        <v>287617</v>
      </c>
      <c r="C1453" t="str">
        <f t="shared" si="43"/>
        <v>Link</v>
      </c>
      <c r="D1453" t="s">
        <v>1997</v>
      </c>
      <c r="E1453" s="17">
        <v>0.5</v>
      </c>
      <c r="F1453" t="s">
        <v>2009</v>
      </c>
      <c r="G1453">
        <v>0.5</v>
      </c>
      <c r="Q1453" s="1"/>
      <c r="R1453" s="1"/>
    </row>
    <row r="1454" spans="1:18" ht="15.75" customHeight="1" x14ac:dyDescent="0.25">
      <c r="A1454" s="2">
        <v>5443938</v>
      </c>
      <c r="B1454">
        <v>287617</v>
      </c>
      <c r="C1454" t="str">
        <f t="shared" si="43"/>
        <v>Link</v>
      </c>
      <c r="D1454" t="s">
        <v>1997</v>
      </c>
      <c r="E1454" s="17">
        <v>0.5</v>
      </c>
      <c r="F1454" t="s">
        <v>2010</v>
      </c>
      <c r="G1454">
        <v>0.5</v>
      </c>
      <c r="Q1454" s="1"/>
      <c r="R1454" s="1"/>
    </row>
    <row r="1455" spans="1:18" ht="15.75" customHeight="1" x14ac:dyDescent="0.25">
      <c r="A1455" s="2">
        <v>5443938</v>
      </c>
      <c r="B1455">
        <v>287617</v>
      </c>
      <c r="C1455" t="str">
        <f t="shared" si="43"/>
        <v>Link</v>
      </c>
      <c r="D1455" t="s">
        <v>1997</v>
      </c>
      <c r="E1455" s="17">
        <v>0.5</v>
      </c>
      <c r="F1455" t="s">
        <v>2011</v>
      </c>
      <c r="G1455">
        <v>0.5</v>
      </c>
      <c r="Q1455" s="1"/>
      <c r="R1455" s="1"/>
    </row>
    <row r="1456" spans="1:18" ht="15.75" customHeight="1" x14ac:dyDescent="0.25">
      <c r="A1456" s="2">
        <v>5443938</v>
      </c>
      <c r="B1456">
        <v>287617</v>
      </c>
      <c r="C1456" t="str">
        <f t="shared" si="43"/>
        <v>Link</v>
      </c>
      <c r="D1456" t="s">
        <v>1997</v>
      </c>
      <c r="E1456" s="17">
        <v>0.5</v>
      </c>
      <c r="F1456" t="s">
        <v>2012</v>
      </c>
      <c r="G1456">
        <v>0.5</v>
      </c>
      <c r="Q1456" s="1"/>
      <c r="R1456" s="1"/>
    </row>
    <row r="1457" spans="1:18" ht="15.75" customHeight="1" x14ac:dyDescent="0.25">
      <c r="A1457" s="2">
        <v>5443938</v>
      </c>
      <c r="B1457">
        <v>287617</v>
      </c>
      <c r="C1457" t="str">
        <f t="shared" si="43"/>
        <v>Link</v>
      </c>
      <c r="D1457" t="s">
        <v>1997</v>
      </c>
      <c r="E1457" s="17">
        <v>0.5</v>
      </c>
      <c r="F1457" t="s">
        <v>2013</v>
      </c>
      <c r="G1457">
        <v>0.5</v>
      </c>
      <c r="Q1457" s="1"/>
      <c r="R1457" s="1"/>
    </row>
    <row r="1458" spans="1:18" ht="15.75" customHeight="1" x14ac:dyDescent="0.25">
      <c r="A1458" s="2">
        <v>5443938</v>
      </c>
      <c r="B1458">
        <v>287617</v>
      </c>
      <c r="C1458" t="str">
        <f t="shared" si="43"/>
        <v>Link</v>
      </c>
      <c r="D1458" t="s">
        <v>1997</v>
      </c>
      <c r="E1458" s="17">
        <v>0.5</v>
      </c>
      <c r="F1458" t="s">
        <v>2014</v>
      </c>
      <c r="G1458">
        <v>0.5</v>
      </c>
      <c r="Q1458" s="1"/>
      <c r="R1458" s="1"/>
    </row>
    <row r="1459" spans="1:18" ht="15.75" customHeight="1" x14ac:dyDescent="0.25">
      <c r="A1459" s="2">
        <v>5443938</v>
      </c>
      <c r="B1459">
        <v>287617</v>
      </c>
      <c r="C1459" t="str">
        <f t="shared" si="43"/>
        <v>Link</v>
      </c>
      <c r="D1459" t="s">
        <v>1997</v>
      </c>
      <c r="E1459" s="17">
        <v>0.5</v>
      </c>
      <c r="F1459" t="s">
        <v>2015</v>
      </c>
      <c r="G1459">
        <v>0.5</v>
      </c>
      <c r="Q1459" s="1"/>
      <c r="R1459" s="1"/>
    </row>
    <row r="1460" spans="1:18" ht="15.75" customHeight="1" x14ac:dyDescent="0.25">
      <c r="A1460" s="2">
        <v>5443938</v>
      </c>
      <c r="B1460">
        <v>287617</v>
      </c>
      <c r="C1460" t="str">
        <f t="shared" si="43"/>
        <v>Link</v>
      </c>
      <c r="D1460" t="s">
        <v>1997</v>
      </c>
      <c r="E1460" s="17">
        <v>0.5</v>
      </c>
      <c r="F1460" t="s">
        <v>2016</v>
      </c>
      <c r="G1460">
        <v>0.5</v>
      </c>
      <c r="Q1460" s="1"/>
      <c r="R1460" s="1"/>
    </row>
    <row r="1461" spans="1:18" ht="15.75" customHeight="1" x14ac:dyDescent="0.25">
      <c r="A1461" s="2">
        <v>5443938</v>
      </c>
      <c r="B1461">
        <v>287617</v>
      </c>
      <c r="C1461" t="str">
        <f t="shared" si="43"/>
        <v>Link</v>
      </c>
      <c r="D1461" t="s">
        <v>1997</v>
      </c>
      <c r="E1461" s="17">
        <v>0.5</v>
      </c>
      <c r="F1461" t="s">
        <v>2017</v>
      </c>
      <c r="G1461">
        <v>0.5</v>
      </c>
      <c r="Q1461" s="1"/>
      <c r="R1461" s="1"/>
    </row>
    <row r="1462" spans="1:18" ht="15.75" customHeight="1" x14ac:dyDescent="0.25">
      <c r="A1462" s="2">
        <v>5443938</v>
      </c>
      <c r="B1462">
        <v>287617</v>
      </c>
      <c r="C1462" t="str">
        <f t="shared" si="43"/>
        <v>Link</v>
      </c>
      <c r="D1462" t="s">
        <v>1997</v>
      </c>
      <c r="E1462" s="17">
        <v>0.5</v>
      </c>
      <c r="F1462" t="s">
        <v>2018</v>
      </c>
      <c r="G1462">
        <v>0.5</v>
      </c>
      <c r="Q1462" s="1"/>
      <c r="R1462" s="1"/>
    </row>
    <row r="1463" spans="1:18" ht="15.75" customHeight="1" x14ac:dyDescent="0.25">
      <c r="A1463" s="2">
        <v>5443938</v>
      </c>
      <c r="B1463">
        <v>287617</v>
      </c>
      <c r="C1463" t="str">
        <f t="shared" si="43"/>
        <v>Link</v>
      </c>
      <c r="D1463" t="s">
        <v>1997</v>
      </c>
      <c r="E1463" s="17">
        <v>0.5</v>
      </c>
      <c r="F1463" t="s">
        <v>2019</v>
      </c>
      <c r="G1463">
        <v>0.5</v>
      </c>
      <c r="Q1463" s="1"/>
      <c r="R1463" s="1"/>
    </row>
    <row r="1464" spans="1:18" ht="15.75" customHeight="1" x14ac:dyDescent="0.25">
      <c r="A1464" s="2">
        <v>5443938</v>
      </c>
      <c r="B1464">
        <v>287617</v>
      </c>
      <c r="C1464" t="str">
        <f t="shared" si="43"/>
        <v>Link</v>
      </c>
      <c r="D1464" t="s">
        <v>1997</v>
      </c>
      <c r="E1464" s="17">
        <v>0.5</v>
      </c>
      <c r="F1464" t="s">
        <v>2020</v>
      </c>
      <c r="G1464">
        <v>0.5</v>
      </c>
      <c r="Q1464" s="1"/>
      <c r="R1464" s="1"/>
    </row>
    <row r="1465" spans="1:18" ht="15.75" customHeight="1" x14ac:dyDescent="0.25">
      <c r="A1465" s="2">
        <v>5443938</v>
      </c>
      <c r="B1465">
        <v>287617</v>
      </c>
      <c r="C1465" t="str">
        <f t="shared" si="43"/>
        <v>Link</v>
      </c>
      <c r="D1465" t="s">
        <v>1997</v>
      </c>
      <c r="E1465" s="17">
        <v>0.5</v>
      </c>
      <c r="F1465" t="s">
        <v>2021</v>
      </c>
      <c r="G1465">
        <v>0.5</v>
      </c>
      <c r="Q1465" s="1"/>
      <c r="R1465" s="1"/>
    </row>
    <row r="1466" spans="1:18" ht="15.75" customHeight="1" x14ac:dyDescent="0.25">
      <c r="A1466" s="2">
        <v>5443938</v>
      </c>
      <c r="B1466">
        <v>287617</v>
      </c>
      <c r="C1466" t="str">
        <f t="shared" si="43"/>
        <v>Link</v>
      </c>
      <c r="D1466" t="s">
        <v>1997</v>
      </c>
      <c r="E1466" s="17">
        <v>0.5</v>
      </c>
      <c r="F1466" t="s">
        <v>2022</v>
      </c>
      <c r="G1466">
        <v>0.5</v>
      </c>
      <c r="Q1466" s="1"/>
      <c r="R1466" s="1"/>
    </row>
    <row r="1467" spans="1:18" ht="15.75" customHeight="1" x14ac:dyDescent="0.25">
      <c r="A1467" s="2">
        <v>5443938</v>
      </c>
      <c r="B1467">
        <v>287617</v>
      </c>
      <c r="C1467" t="str">
        <f t="shared" si="43"/>
        <v>Link</v>
      </c>
      <c r="D1467" t="s">
        <v>1997</v>
      </c>
      <c r="E1467" s="17">
        <v>0.5</v>
      </c>
      <c r="F1467" t="s">
        <v>2023</v>
      </c>
      <c r="G1467">
        <v>0.5</v>
      </c>
      <c r="Q1467" s="1"/>
      <c r="R1467" s="1"/>
    </row>
    <row r="1468" spans="1:18" ht="15.75" customHeight="1" x14ac:dyDescent="0.25">
      <c r="A1468" s="2">
        <v>5443938</v>
      </c>
      <c r="B1468">
        <v>287617</v>
      </c>
      <c r="C1468" t="str">
        <f t="shared" si="43"/>
        <v>Link</v>
      </c>
      <c r="D1468" t="s">
        <v>1997</v>
      </c>
      <c r="E1468" s="17">
        <v>0.5</v>
      </c>
      <c r="F1468" t="s">
        <v>2024</v>
      </c>
      <c r="G1468">
        <v>0.5</v>
      </c>
      <c r="Q1468" s="1"/>
      <c r="R1468" s="1"/>
    </row>
    <row r="1469" spans="1:18" ht="15.75" customHeight="1" x14ac:dyDescent="0.25">
      <c r="A1469" s="2">
        <v>5443938</v>
      </c>
      <c r="B1469">
        <v>287617</v>
      </c>
      <c r="C1469" t="str">
        <f t="shared" si="43"/>
        <v>Link</v>
      </c>
      <c r="D1469" t="s">
        <v>1997</v>
      </c>
      <c r="E1469" s="17">
        <v>0.5</v>
      </c>
      <c r="F1469" t="s">
        <v>2025</v>
      </c>
      <c r="G1469">
        <v>0.5</v>
      </c>
      <c r="Q1469" s="1"/>
      <c r="R1469" s="1"/>
    </row>
    <row r="1470" spans="1:18" ht="15.75" customHeight="1" x14ac:dyDescent="0.25">
      <c r="A1470" s="2">
        <v>5443938</v>
      </c>
      <c r="B1470">
        <v>287617</v>
      </c>
      <c r="C1470" t="str">
        <f t="shared" si="43"/>
        <v>Link</v>
      </c>
      <c r="D1470" t="s">
        <v>1997</v>
      </c>
      <c r="E1470" s="17">
        <v>0.5</v>
      </c>
      <c r="F1470" t="s">
        <v>2026</v>
      </c>
      <c r="G1470">
        <v>0.5</v>
      </c>
      <c r="Q1470" s="1"/>
      <c r="R1470" s="1"/>
    </row>
    <row r="1471" spans="1:18" ht="15.75" customHeight="1" x14ac:dyDescent="0.25">
      <c r="A1471" s="2">
        <v>5443938</v>
      </c>
      <c r="B1471">
        <v>287617</v>
      </c>
      <c r="C1471" t="str">
        <f t="shared" si="43"/>
        <v>Link</v>
      </c>
      <c r="D1471" t="s">
        <v>1997</v>
      </c>
      <c r="E1471" s="17">
        <v>0.5</v>
      </c>
      <c r="F1471" t="s">
        <v>2027</v>
      </c>
      <c r="G1471">
        <v>0.5</v>
      </c>
      <c r="Q1471" s="1"/>
      <c r="R1471" s="1"/>
    </row>
    <row r="1472" spans="1:18" ht="15.75" customHeight="1" x14ac:dyDescent="0.25">
      <c r="A1472" s="2">
        <v>5443938</v>
      </c>
      <c r="B1472">
        <v>287617</v>
      </c>
      <c r="C1472" t="str">
        <f t="shared" si="43"/>
        <v>Link</v>
      </c>
      <c r="D1472" t="s">
        <v>1997</v>
      </c>
      <c r="E1472" s="17">
        <v>0.5</v>
      </c>
      <c r="F1472" t="s">
        <v>2028</v>
      </c>
      <c r="G1472">
        <v>0.5</v>
      </c>
      <c r="Q1472" s="1"/>
      <c r="R1472" s="1"/>
    </row>
    <row r="1473" spans="1:18" ht="15.75" customHeight="1" x14ac:dyDescent="0.25">
      <c r="A1473" s="2">
        <v>5443940</v>
      </c>
      <c r="B1473">
        <v>5443940</v>
      </c>
      <c r="C1473" t="str">
        <f>HYPERLINK("https://ois.dk/map/5443940/sfe", "Link")</f>
        <v>Link</v>
      </c>
      <c r="D1473" t="s">
        <v>2029</v>
      </c>
      <c r="E1473" s="17">
        <v>0.5</v>
      </c>
      <c r="F1473" t="s">
        <v>2030</v>
      </c>
      <c r="G1473">
        <v>0.5</v>
      </c>
      <c r="Q1473" s="1"/>
      <c r="R1473" s="1"/>
    </row>
    <row r="1474" spans="1:18" ht="15.75" customHeight="1" x14ac:dyDescent="0.25">
      <c r="A1474" s="2">
        <v>5443942</v>
      </c>
      <c r="B1474">
        <v>287618</v>
      </c>
      <c r="C1474" t="str">
        <f>HYPERLINK("https://ois.dk/map/287618/sfe", "Link")</f>
        <v>Link</v>
      </c>
      <c r="D1474" t="s">
        <v>2031</v>
      </c>
      <c r="E1474" s="17">
        <v>0.5</v>
      </c>
      <c r="F1474" t="s">
        <v>2032</v>
      </c>
      <c r="G1474">
        <v>0.5</v>
      </c>
      <c r="Q1474" s="1"/>
      <c r="R1474" s="1"/>
    </row>
    <row r="1475" spans="1:18" ht="15.75" customHeight="1" x14ac:dyDescent="0.25">
      <c r="A1475" s="2">
        <v>5443942</v>
      </c>
      <c r="B1475">
        <v>287619</v>
      </c>
      <c r="C1475" t="str">
        <f>HYPERLINK("https://ois.dk/map/287619/sfe", "Link")</f>
        <v>Link</v>
      </c>
      <c r="D1475" t="s">
        <v>2031</v>
      </c>
      <c r="E1475" s="17">
        <v>0.5</v>
      </c>
      <c r="F1475" t="s">
        <v>2033</v>
      </c>
      <c r="G1475">
        <v>0.5</v>
      </c>
      <c r="Q1475" s="1"/>
      <c r="R1475" s="1"/>
    </row>
    <row r="1476" spans="1:18" ht="15.75" customHeight="1" x14ac:dyDescent="0.25">
      <c r="A1476" s="2">
        <v>5443942</v>
      </c>
      <c r="B1476">
        <v>287620</v>
      </c>
      <c r="C1476" t="str">
        <f>HYPERLINK("https://ois.dk/map/287620/sfe", "Link")</f>
        <v>Link</v>
      </c>
      <c r="D1476" t="s">
        <v>2031</v>
      </c>
      <c r="E1476" s="17">
        <v>0.5</v>
      </c>
      <c r="F1476" t="s">
        <v>2034</v>
      </c>
      <c r="G1476">
        <v>0.5</v>
      </c>
      <c r="Q1476" s="1"/>
      <c r="R1476" s="1"/>
    </row>
    <row r="1477" spans="1:18" ht="15.75" customHeight="1" x14ac:dyDescent="0.25">
      <c r="A1477" s="2">
        <v>5443942</v>
      </c>
      <c r="B1477">
        <v>287621</v>
      </c>
      <c r="C1477" t="str">
        <f>HYPERLINK("https://ois.dk/map/287621/sfe", "Link")</f>
        <v>Link</v>
      </c>
      <c r="D1477" t="s">
        <v>2031</v>
      </c>
      <c r="E1477" s="17">
        <v>0.5</v>
      </c>
      <c r="F1477" t="s">
        <v>2035</v>
      </c>
      <c r="G1477">
        <v>0.5</v>
      </c>
      <c r="Q1477" s="1"/>
      <c r="R1477" s="1"/>
    </row>
    <row r="1478" spans="1:18" ht="15.75" customHeight="1" x14ac:dyDescent="0.25">
      <c r="A1478" s="2">
        <v>5443942</v>
      </c>
      <c r="B1478">
        <v>287622</v>
      </c>
      <c r="C1478" t="str">
        <f>HYPERLINK("https://ois.dk/map/287622/sfe", "Link")</f>
        <v>Link</v>
      </c>
      <c r="D1478" t="s">
        <v>2031</v>
      </c>
      <c r="E1478" s="17">
        <v>0.5</v>
      </c>
      <c r="F1478" t="s">
        <v>2036</v>
      </c>
      <c r="G1478">
        <v>0.5</v>
      </c>
      <c r="Q1478" s="1"/>
      <c r="R1478" s="1"/>
    </row>
    <row r="1479" spans="1:18" ht="15.75" customHeight="1" x14ac:dyDescent="0.25">
      <c r="A1479" s="2">
        <v>5443942</v>
      </c>
      <c r="B1479">
        <v>287623</v>
      </c>
      <c r="C1479" t="str">
        <f>HYPERLINK("https://ois.dk/map/287623/sfe", "Link")</f>
        <v>Link</v>
      </c>
      <c r="D1479" t="s">
        <v>2031</v>
      </c>
      <c r="E1479" s="17">
        <v>0.5</v>
      </c>
      <c r="F1479" t="s">
        <v>2037</v>
      </c>
      <c r="G1479">
        <v>0.5</v>
      </c>
      <c r="Q1479" s="1"/>
      <c r="R1479" s="1"/>
    </row>
    <row r="1480" spans="1:18" ht="15.75" customHeight="1" x14ac:dyDescent="0.25">
      <c r="A1480" s="2">
        <v>5443942</v>
      </c>
      <c r="B1480">
        <v>287624</v>
      </c>
      <c r="C1480" t="str">
        <f>HYPERLINK("https://ois.dk/map/287624/sfe", "Link")</f>
        <v>Link</v>
      </c>
      <c r="D1480" t="s">
        <v>2031</v>
      </c>
      <c r="E1480" s="17">
        <v>0.5</v>
      </c>
      <c r="F1480" t="s">
        <v>2038</v>
      </c>
      <c r="G1480">
        <v>0.5</v>
      </c>
      <c r="Q1480" s="1"/>
      <c r="R1480" s="1"/>
    </row>
    <row r="1481" spans="1:18" ht="15.75" customHeight="1" x14ac:dyDescent="0.25">
      <c r="A1481" s="2">
        <v>5443942</v>
      </c>
      <c r="B1481">
        <v>287625</v>
      </c>
      <c r="C1481" t="str">
        <f>HYPERLINK("https://ois.dk/map/287625/sfe", "Link")</f>
        <v>Link</v>
      </c>
      <c r="D1481" t="s">
        <v>2031</v>
      </c>
      <c r="E1481" s="17">
        <v>0.5</v>
      </c>
      <c r="F1481" t="s">
        <v>2039</v>
      </c>
      <c r="G1481">
        <v>0.5</v>
      </c>
      <c r="Q1481" s="1"/>
      <c r="R1481" s="1"/>
    </row>
    <row r="1482" spans="1:18" ht="15.75" customHeight="1" x14ac:dyDescent="0.25">
      <c r="A1482" s="2">
        <v>5443942</v>
      </c>
      <c r="B1482">
        <v>287626</v>
      </c>
      <c r="C1482" t="str">
        <f>HYPERLINK("https://ois.dk/map/287626/sfe", "Link")</f>
        <v>Link</v>
      </c>
      <c r="D1482" t="s">
        <v>2031</v>
      </c>
      <c r="E1482" s="17">
        <v>0.5</v>
      </c>
      <c r="F1482" t="s">
        <v>2040</v>
      </c>
      <c r="G1482">
        <v>0.5</v>
      </c>
      <c r="Q1482" s="1"/>
      <c r="R1482" s="1"/>
    </row>
    <row r="1483" spans="1:18" ht="15.75" customHeight="1" x14ac:dyDescent="0.25">
      <c r="A1483" s="2">
        <v>5443942</v>
      </c>
      <c r="B1483">
        <v>287627</v>
      </c>
      <c r="C1483" t="str">
        <f>HYPERLINK("https://ois.dk/map/287627/sfe", "Link")</f>
        <v>Link</v>
      </c>
      <c r="D1483" t="s">
        <v>2031</v>
      </c>
      <c r="E1483" s="17">
        <v>0.5</v>
      </c>
      <c r="F1483" t="s">
        <v>2041</v>
      </c>
      <c r="G1483">
        <v>0.5</v>
      </c>
      <c r="Q1483" s="1"/>
      <c r="R1483" s="1"/>
    </row>
    <row r="1484" spans="1:18" ht="15.75" customHeight="1" x14ac:dyDescent="0.25">
      <c r="A1484" s="2">
        <v>5443943</v>
      </c>
      <c r="B1484">
        <v>287628</v>
      </c>
      <c r="C1484" t="str">
        <f>HYPERLINK("https://ois.dk/map/287628/sfe", "Link")</f>
        <v>Link</v>
      </c>
      <c r="D1484" t="s">
        <v>2042</v>
      </c>
      <c r="E1484" s="17">
        <v>0.5</v>
      </c>
      <c r="F1484" t="s">
        <v>2043</v>
      </c>
      <c r="G1484">
        <v>0.5</v>
      </c>
      <c r="Q1484" s="1"/>
      <c r="R1484" s="1"/>
    </row>
    <row r="1485" spans="1:18" ht="15.75" customHeight="1" x14ac:dyDescent="0.25">
      <c r="A1485" s="2">
        <v>5443943</v>
      </c>
      <c r="B1485">
        <v>287629</v>
      </c>
      <c r="C1485" t="str">
        <f>HYPERLINK("https://ois.dk/map/287629/sfe", "Link")</f>
        <v>Link</v>
      </c>
      <c r="D1485" t="s">
        <v>2042</v>
      </c>
      <c r="E1485" s="17">
        <v>0.5</v>
      </c>
      <c r="F1485" t="s">
        <v>2044</v>
      </c>
      <c r="G1485">
        <v>0.5</v>
      </c>
      <c r="Q1485" s="1"/>
      <c r="R1485" s="1"/>
    </row>
    <row r="1486" spans="1:18" ht="15.75" customHeight="1" x14ac:dyDescent="0.25">
      <c r="A1486" s="2">
        <v>5443943</v>
      </c>
      <c r="B1486">
        <v>287630</v>
      </c>
      <c r="C1486" t="str">
        <f>HYPERLINK("https://ois.dk/map/287630/sfe", "Link")</f>
        <v>Link</v>
      </c>
      <c r="D1486" t="s">
        <v>2042</v>
      </c>
      <c r="E1486" s="17">
        <v>0.5</v>
      </c>
      <c r="F1486" t="s">
        <v>2045</v>
      </c>
      <c r="G1486">
        <v>0.5</v>
      </c>
      <c r="Q1486" s="1"/>
      <c r="R1486" s="1"/>
    </row>
    <row r="1487" spans="1:18" ht="15.75" customHeight="1" x14ac:dyDescent="0.25">
      <c r="A1487" s="2">
        <v>5443943</v>
      </c>
      <c r="B1487">
        <v>287631</v>
      </c>
      <c r="C1487" t="str">
        <f>HYPERLINK("https://ois.dk/map/287631/sfe", "Link")</f>
        <v>Link</v>
      </c>
      <c r="D1487" t="s">
        <v>2042</v>
      </c>
      <c r="E1487" s="17">
        <v>0.5</v>
      </c>
      <c r="F1487" t="s">
        <v>2046</v>
      </c>
      <c r="G1487">
        <v>0.5</v>
      </c>
      <c r="Q1487" s="1"/>
      <c r="R1487" s="1"/>
    </row>
    <row r="1488" spans="1:18" ht="15.75" customHeight="1" x14ac:dyDescent="0.25">
      <c r="A1488" s="2">
        <v>5443943</v>
      </c>
      <c r="B1488">
        <v>287632</v>
      </c>
      <c r="C1488" t="str">
        <f>HYPERLINK("https://ois.dk/map/287632/sfe", "Link")</f>
        <v>Link</v>
      </c>
      <c r="D1488" t="s">
        <v>2042</v>
      </c>
      <c r="E1488" s="17">
        <v>0.5</v>
      </c>
      <c r="F1488" t="s">
        <v>2047</v>
      </c>
      <c r="G1488">
        <v>0.5</v>
      </c>
      <c r="Q1488" s="1"/>
      <c r="R1488" s="1"/>
    </row>
    <row r="1489" spans="1:19" ht="15.75" customHeight="1" x14ac:dyDescent="0.25">
      <c r="A1489" s="2">
        <v>5443943</v>
      </c>
      <c r="B1489">
        <v>287633</v>
      </c>
      <c r="C1489" t="str">
        <f>HYPERLINK("https://ois.dk/map/287633/sfe", "Link")</f>
        <v>Link</v>
      </c>
      <c r="D1489" t="s">
        <v>2042</v>
      </c>
      <c r="E1489" s="17">
        <v>0.5</v>
      </c>
      <c r="F1489" t="s">
        <v>2048</v>
      </c>
      <c r="G1489">
        <v>0.5</v>
      </c>
      <c r="Q1489" s="1"/>
      <c r="R1489" s="1"/>
    </row>
    <row r="1490" spans="1:19" ht="15.75" customHeight="1" x14ac:dyDescent="0.25">
      <c r="A1490" s="2">
        <v>5443943</v>
      </c>
      <c r="B1490">
        <v>287634</v>
      </c>
      <c r="C1490" t="str">
        <f>HYPERLINK("https://ois.dk/map/287634/sfe", "Link")</f>
        <v>Link</v>
      </c>
      <c r="D1490" t="s">
        <v>2042</v>
      </c>
      <c r="E1490" s="17">
        <v>0.5</v>
      </c>
      <c r="F1490" t="s">
        <v>2049</v>
      </c>
      <c r="G1490">
        <v>0.5</v>
      </c>
      <c r="Q1490" s="1"/>
      <c r="R1490" s="1"/>
    </row>
    <row r="1491" spans="1:19" ht="15.75" customHeight="1" x14ac:dyDescent="0.25">
      <c r="A1491" s="2">
        <v>5443944</v>
      </c>
      <c r="B1491">
        <v>5443944</v>
      </c>
      <c r="C1491" t="str">
        <f>HYPERLINK("https://ois.dk/map/5443944/sfe", "Link")</f>
        <v>Link</v>
      </c>
      <c r="D1491" t="s">
        <v>2050</v>
      </c>
      <c r="E1491" s="17">
        <v>1.75</v>
      </c>
      <c r="F1491" t="s">
        <v>2051</v>
      </c>
      <c r="G1491">
        <v>0.5</v>
      </c>
      <c r="H1491">
        <v>0.25</v>
      </c>
      <c r="I1491">
        <v>1</v>
      </c>
      <c r="Q1491" s="1"/>
      <c r="R1491" s="1">
        <v>1.86</v>
      </c>
    </row>
    <row r="1492" spans="1:19" ht="15.75" customHeight="1" x14ac:dyDescent="0.25">
      <c r="A1492" s="2">
        <v>5443948</v>
      </c>
      <c r="B1492">
        <v>5443948</v>
      </c>
      <c r="C1492" t="str">
        <f>HYPERLINK("https://ois.dk/map/5443948/sfe", "Link")</f>
        <v>Link</v>
      </c>
      <c r="D1492" t="s">
        <v>2052</v>
      </c>
      <c r="E1492" s="17">
        <v>0.5</v>
      </c>
      <c r="F1492" t="s">
        <v>2053</v>
      </c>
      <c r="G1492">
        <v>0.5</v>
      </c>
      <c r="Q1492" s="1"/>
      <c r="R1492" s="1"/>
    </row>
    <row r="1493" spans="1:19" ht="15.75" customHeight="1" x14ac:dyDescent="0.25">
      <c r="A1493" s="2">
        <v>5443949</v>
      </c>
      <c r="B1493">
        <v>5443949</v>
      </c>
      <c r="C1493" t="str">
        <f>HYPERLINK("https://ois.dk/map/5443949/sfe", "Link")</f>
        <v>Link</v>
      </c>
      <c r="D1493" t="s">
        <v>2054</v>
      </c>
      <c r="E1493" s="17">
        <v>1.75</v>
      </c>
      <c r="F1493" t="s">
        <v>2055</v>
      </c>
      <c r="G1493">
        <v>0.5</v>
      </c>
      <c r="H1493">
        <v>0.25</v>
      </c>
      <c r="I1493">
        <v>1</v>
      </c>
      <c r="Q1493" s="1"/>
      <c r="R1493" s="1">
        <v>2.02</v>
      </c>
    </row>
    <row r="1494" spans="1:19" ht="15.75" customHeight="1" x14ac:dyDescent="0.25">
      <c r="A1494" s="2">
        <v>5443951</v>
      </c>
      <c r="B1494">
        <v>5443951</v>
      </c>
      <c r="C1494" t="str">
        <f>HYPERLINK("https://ois.dk/map/5443951/sfe", "Link")</f>
        <v>Link</v>
      </c>
      <c r="D1494" t="s">
        <v>2056</v>
      </c>
      <c r="E1494" s="17">
        <v>0.75</v>
      </c>
      <c r="F1494" t="s">
        <v>2057</v>
      </c>
      <c r="G1494">
        <v>0.5</v>
      </c>
      <c r="H1494">
        <v>0.25</v>
      </c>
      <c r="Q1494" s="1"/>
      <c r="R1494" s="1"/>
    </row>
    <row r="1495" spans="1:19" ht="15.75" customHeight="1" x14ac:dyDescent="0.25">
      <c r="A1495" s="2">
        <v>5443955</v>
      </c>
      <c r="B1495">
        <v>5443955</v>
      </c>
      <c r="C1495" t="str">
        <f>HYPERLINK("https://ois.dk/map/5443955/sfe", "Link")</f>
        <v>Link</v>
      </c>
      <c r="D1495" t="s">
        <v>2058</v>
      </c>
      <c r="E1495" s="17">
        <v>1.05</v>
      </c>
      <c r="F1495" t="s">
        <v>2059</v>
      </c>
      <c r="G1495">
        <v>0.5</v>
      </c>
      <c r="H1495">
        <v>0.25</v>
      </c>
      <c r="J1495">
        <v>0.3</v>
      </c>
      <c r="Q1495" s="1"/>
      <c r="R1495" s="1"/>
      <c r="S1495">
        <v>0.93</v>
      </c>
    </row>
    <row r="1496" spans="1:19" ht="15.75" customHeight="1" x14ac:dyDescent="0.25">
      <c r="A1496" s="2">
        <v>5443956</v>
      </c>
      <c r="B1496">
        <v>5443956</v>
      </c>
      <c r="C1496" t="str">
        <f>HYPERLINK("https://ois.dk/map/5443956/sfe", "Link")</f>
        <v>Link</v>
      </c>
      <c r="D1496" t="s">
        <v>2060</v>
      </c>
      <c r="E1496" s="17">
        <v>1.05</v>
      </c>
      <c r="F1496" t="s">
        <v>2061</v>
      </c>
      <c r="G1496">
        <v>0.5</v>
      </c>
      <c r="H1496">
        <v>0.25</v>
      </c>
      <c r="J1496">
        <v>0.3</v>
      </c>
      <c r="Q1496" s="1"/>
      <c r="R1496" s="1"/>
      <c r="S1496">
        <v>0.94</v>
      </c>
    </row>
    <row r="1497" spans="1:19" ht="15.75" customHeight="1" x14ac:dyDescent="0.25">
      <c r="A1497" s="2">
        <v>5443957</v>
      </c>
      <c r="B1497">
        <v>5443957</v>
      </c>
      <c r="C1497" t="str">
        <f t="shared" ref="C1497:C1506" si="44">HYPERLINK("https://ois.dk/map/5443957/sfe", "Link")</f>
        <v>Link</v>
      </c>
      <c r="D1497" t="s">
        <v>2062</v>
      </c>
      <c r="E1497" s="17">
        <v>0.25</v>
      </c>
      <c r="F1497" t="s">
        <v>2063</v>
      </c>
      <c r="H1497">
        <v>0.25</v>
      </c>
      <c r="Q1497" s="1"/>
      <c r="R1497" s="1">
        <v>2.08</v>
      </c>
    </row>
    <row r="1498" spans="1:19" ht="15.75" customHeight="1" x14ac:dyDescent="0.25">
      <c r="A1498" s="2">
        <v>5443957</v>
      </c>
      <c r="B1498">
        <v>5443957</v>
      </c>
      <c r="C1498" t="str">
        <f t="shared" si="44"/>
        <v>Link</v>
      </c>
      <c r="D1498" t="s">
        <v>2062</v>
      </c>
      <c r="E1498" s="17">
        <v>1.5</v>
      </c>
      <c r="F1498" t="s">
        <v>2063</v>
      </c>
      <c r="G1498">
        <v>0.5</v>
      </c>
      <c r="I1498">
        <v>1</v>
      </c>
      <c r="Q1498" s="1"/>
      <c r="R1498" s="1">
        <v>2.08</v>
      </c>
    </row>
    <row r="1499" spans="1:19" ht="15.75" customHeight="1" x14ac:dyDescent="0.25">
      <c r="A1499" s="2">
        <v>5443957</v>
      </c>
      <c r="B1499">
        <v>5443957</v>
      </c>
      <c r="C1499" t="str">
        <f t="shared" si="44"/>
        <v>Link</v>
      </c>
      <c r="D1499" t="s">
        <v>2062</v>
      </c>
      <c r="E1499" s="17">
        <v>1.5</v>
      </c>
      <c r="F1499" t="s">
        <v>2064</v>
      </c>
      <c r="G1499">
        <v>0.5</v>
      </c>
      <c r="I1499">
        <v>1</v>
      </c>
      <c r="Q1499" s="1"/>
      <c r="R1499" s="1">
        <v>2.08</v>
      </c>
    </row>
    <row r="1500" spans="1:19" ht="15.75" customHeight="1" x14ac:dyDescent="0.25">
      <c r="A1500" s="2">
        <v>5443957</v>
      </c>
      <c r="B1500">
        <v>5443957</v>
      </c>
      <c r="C1500" t="str">
        <f t="shared" si="44"/>
        <v>Link</v>
      </c>
      <c r="D1500" t="s">
        <v>2062</v>
      </c>
      <c r="E1500" s="17">
        <v>1.5</v>
      </c>
      <c r="F1500" t="s">
        <v>2065</v>
      </c>
      <c r="G1500">
        <v>0.5</v>
      </c>
      <c r="I1500">
        <v>1</v>
      </c>
      <c r="Q1500" s="1"/>
      <c r="R1500" s="1">
        <v>2.08</v>
      </c>
    </row>
    <row r="1501" spans="1:19" ht="15.75" customHeight="1" x14ac:dyDescent="0.25">
      <c r="A1501" s="2">
        <v>5443957</v>
      </c>
      <c r="B1501">
        <v>5443957</v>
      </c>
      <c r="C1501" t="str">
        <f t="shared" si="44"/>
        <v>Link</v>
      </c>
      <c r="D1501" t="s">
        <v>2062</v>
      </c>
      <c r="E1501" s="17">
        <v>1.5</v>
      </c>
      <c r="F1501" t="s">
        <v>2066</v>
      </c>
      <c r="G1501">
        <v>0.5</v>
      </c>
      <c r="I1501">
        <v>1</v>
      </c>
      <c r="Q1501" s="1"/>
      <c r="R1501" s="1">
        <v>2.08</v>
      </c>
    </row>
    <row r="1502" spans="1:19" ht="15.75" customHeight="1" x14ac:dyDescent="0.25">
      <c r="A1502" s="2">
        <v>5443957</v>
      </c>
      <c r="B1502">
        <v>5443957</v>
      </c>
      <c r="C1502" t="str">
        <f t="shared" si="44"/>
        <v>Link</v>
      </c>
      <c r="D1502" t="s">
        <v>2062</v>
      </c>
      <c r="E1502" s="17">
        <v>1.5</v>
      </c>
      <c r="F1502" t="s">
        <v>2067</v>
      </c>
      <c r="G1502">
        <v>0.5</v>
      </c>
      <c r="I1502">
        <v>1</v>
      </c>
      <c r="Q1502" s="1"/>
      <c r="R1502" s="1">
        <v>2.08</v>
      </c>
    </row>
    <row r="1503" spans="1:19" ht="15.75" customHeight="1" x14ac:dyDescent="0.25">
      <c r="A1503" s="2">
        <v>5443957</v>
      </c>
      <c r="B1503">
        <v>5443957</v>
      </c>
      <c r="C1503" t="str">
        <f t="shared" si="44"/>
        <v>Link</v>
      </c>
      <c r="D1503" t="s">
        <v>2062</v>
      </c>
      <c r="E1503" s="17">
        <v>0.5</v>
      </c>
      <c r="F1503" t="s">
        <v>2068</v>
      </c>
      <c r="G1503">
        <v>0.5</v>
      </c>
      <c r="Q1503" s="1"/>
      <c r="R1503" s="1"/>
    </row>
    <row r="1504" spans="1:19" ht="15.75" customHeight="1" x14ac:dyDescent="0.25">
      <c r="A1504" s="2">
        <v>5443957</v>
      </c>
      <c r="B1504">
        <v>5443957</v>
      </c>
      <c r="C1504" t="str">
        <f t="shared" si="44"/>
        <v>Link</v>
      </c>
      <c r="D1504" t="s">
        <v>2062</v>
      </c>
      <c r="E1504" s="17">
        <v>0.5</v>
      </c>
      <c r="F1504" t="s">
        <v>2069</v>
      </c>
      <c r="G1504">
        <v>0.5</v>
      </c>
      <c r="Q1504" s="1"/>
      <c r="R1504" s="1"/>
    </row>
    <row r="1505" spans="1:18" ht="15.75" customHeight="1" x14ac:dyDescent="0.25">
      <c r="A1505" s="2">
        <v>5443957</v>
      </c>
      <c r="B1505">
        <v>5443957</v>
      </c>
      <c r="C1505" t="str">
        <f t="shared" si="44"/>
        <v>Link</v>
      </c>
      <c r="D1505" t="s">
        <v>2062</v>
      </c>
      <c r="E1505" s="17">
        <v>0.5</v>
      </c>
      <c r="F1505" t="s">
        <v>2070</v>
      </c>
      <c r="G1505">
        <v>0.5</v>
      </c>
      <c r="Q1505" s="1"/>
      <c r="R1505" s="1"/>
    </row>
    <row r="1506" spans="1:18" ht="15.75" customHeight="1" x14ac:dyDescent="0.25">
      <c r="A1506" s="2">
        <v>5443957</v>
      </c>
      <c r="B1506">
        <v>5443957</v>
      </c>
      <c r="C1506" t="str">
        <f t="shared" si="44"/>
        <v>Link</v>
      </c>
      <c r="D1506" t="s">
        <v>2062</v>
      </c>
      <c r="E1506" s="17">
        <v>0.5</v>
      </c>
      <c r="F1506" t="s">
        <v>2071</v>
      </c>
      <c r="G1506">
        <v>0.5</v>
      </c>
      <c r="Q1506" s="1"/>
      <c r="R1506" s="1"/>
    </row>
    <row r="1507" spans="1:18" ht="15.75" customHeight="1" x14ac:dyDescent="0.25">
      <c r="A1507" s="2">
        <v>5443959</v>
      </c>
      <c r="B1507">
        <v>5443959</v>
      </c>
      <c r="C1507" t="str">
        <f>HYPERLINK("https://ois.dk/map/5443959/sfe", "Link")</f>
        <v>Link</v>
      </c>
      <c r="D1507" t="s">
        <v>2072</v>
      </c>
      <c r="E1507" s="17">
        <v>1.75</v>
      </c>
      <c r="F1507" t="s">
        <v>2073</v>
      </c>
      <c r="G1507">
        <v>0.5</v>
      </c>
      <c r="H1507">
        <v>0.25</v>
      </c>
      <c r="I1507">
        <v>1</v>
      </c>
      <c r="Q1507" s="1"/>
      <c r="R1507" s="1">
        <v>1.0900000000000001</v>
      </c>
    </row>
    <row r="1508" spans="1:18" ht="15.75" customHeight="1" x14ac:dyDescent="0.25">
      <c r="A1508" s="2">
        <v>5443961</v>
      </c>
      <c r="B1508">
        <v>5443961</v>
      </c>
      <c r="C1508" t="str">
        <f>HYPERLINK("https://ois.dk/map/5443961/sfe", "Link")</f>
        <v>Link</v>
      </c>
      <c r="D1508" t="s">
        <v>2074</v>
      </c>
      <c r="E1508" s="17">
        <v>1.75</v>
      </c>
      <c r="F1508" t="s">
        <v>2075</v>
      </c>
      <c r="G1508">
        <v>0.5</v>
      </c>
      <c r="H1508">
        <v>0.25</v>
      </c>
      <c r="I1508">
        <v>1</v>
      </c>
      <c r="Q1508" s="1"/>
      <c r="R1508" s="1">
        <v>1.62</v>
      </c>
    </row>
    <row r="1509" spans="1:18" ht="15.75" customHeight="1" x14ac:dyDescent="0.25">
      <c r="A1509" s="2">
        <v>5443962</v>
      </c>
      <c r="B1509">
        <v>5443962</v>
      </c>
      <c r="C1509" t="str">
        <f>HYPERLINK("https://ois.dk/map/5443962/sfe", "Link")</f>
        <v>Link</v>
      </c>
      <c r="D1509" t="s">
        <v>2076</v>
      </c>
      <c r="E1509" s="17">
        <v>1.75</v>
      </c>
      <c r="F1509" t="s">
        <v>2077</v>
      </c>
      <c r="G1509">
        <v>0.5</v>
      </c>
      <c r="H1509">
        <v>0.25</v>
      </c>
      <c r="I1509">
        <v>1</v>
      </c>
      <c r="Q1509" s="1"/>
      <c r="R1509" s="1">
        <v>1.8</v>
      </c>
    </row>
    <row r="1510" spans="1:18" ht="15.75" customHeight="1" x14ac:dyDescent="0.25">
      <c r="A1510" s="2">
        <v>5443963</v>
      </c>
      <c r="B1510">
        <v>5443963</v>
      </c>
      <c r="C1510" t="str">
        <f>HYPERLINK("https://ois.dk/map/5443963/sfe", "Link")</f>
        <v>Link</v>
      </c>
      <c r="D1510" t="s">
        <v>2078</v>
      </c>
      <c r="E1510" s="17">
        <v>1.75</v>
      </c>
      <c r="F1510" t="s">
        <v>2079</v>
      </c>
      <c r="G1510">
        <v>0.5</v>
      </c>
      <c r="H1510">
        <v>0.25</v>
      </c>
      <c r="I1510">
        <v>1</v>
      </c>
      <c r="Q1510" s="1"/>
      <c r="R1510" s="1">
        <v>1.8</v>
      </c>
    </row>
    <row r="1511" spans="1:18" ht="15.75" customHeight="1" x14ac:dyDescent="0.25">
      <c r="A1511" s="2">
        <v>5443964</v>
      </c>
      <c r="B1511">
        <v>5443964</v>
      </c>
      <c r="C1511" t="str">
        <f>HYPERLINK("https://ois.dk/map/5443964/sfe", "Link")</f>
        <v>Link</v>
      </c>
      <c r="D1511" t="s">
        <v>2080</v>
      </c>
      <c r="E1511" s="17">
        <v>1.75</v>
      </c>
      <c r="F1511" t="s">
        <v>2081</v>
      </c>
      <c r="G1511">
        <v>0.5</v>
      </c>
      <c r="H1511">
        <v>0.25</v>
      </c>
      <c r="I1511">
        <v>1</v>
      </c>
      <c r="Q1511" s="1"/>
      <c r="R1511" s="1">
        <v>1.69</v>
      </c>
    </row>
    <row r="1512" spans="1:18" ht="15.75" customHeight="1" x14ac:dyDescent="0.25">
      <c r="A1512" s="2">
        <v>5443965</v>
      </c>
      <c r="B1512">
        <v>5443965</v>
      </c>
      <c r="C1512" t="str">
        <f>HYPERLINK("https://ois.dk/map/5443965/sfe", "Link")</f>
        <v>Link</v>
      </c>
      <c r="D1512" t="s">
        <v>2082</v>
      </c>
      <c r="E1512" s="17">
        <v>1.75</v>
      </c>
      <c r="F1512" t="s">
        <v>2083</v>
      </c>
      <c r="G1512">
        <v>0.5</v>
      </c>
      <c r="H1512">
        <v>0.25</v>
      </c>
      <c r="I1512">
        <v>1</v>
      </c>
      <c r="Q1512" s="1"/>
      <c r="R1512" s="1">
        <v>1.66</v>
      </c>
    </row>
    <row r="1513" spans="1:18" ht="15.75" customHeight="1" x14ac:dyDescent="0.25">
      <c r="A1513" s="2">
        <v>5443968</v>
      </c>
      <c r="B1513">
        <v>5443968</v>
      </c>
      <c r="C1513" t="str">
        <f>HYPERLINK("https://ois.dk/map/5443968/sfe", "Link")</f>
        <v>Link</v>
      </c>
      <c r="D1513" t="s">
        <v>2084</v>
      </c>
      <c r="E1513" s="17">
        <v>1.75</v>
      </c>
      <c r="F1513" t="s">
        <v>2085</v>
      </c>
      <c r="G1513">
        <v>0.5</v>
      </c>
      <c r="H1513">
        <v>0.25</v>
      </c>
      <c r="I1513">
        <v>1</v>
      </c>
      <c r="Q1513" s="1"/>
      <c r="R1513" s="1">
        <v>1.88</v>
      </c>
    </row>
    <row r="1514" spans="1:18" ht="15.75" customHeight="1" x14ac:dyDescent="0.25">
      <c r="A1514" s="2">
        <v>5443969</v>
      </c>
      <c r="B1514">
        <v>5443969</v>
      </c>
      <c r="C1514" t="str">
        <f>HYPERLINK("https://ois.dk/map/5443969/sfe", "Link")</f>
        <v>Link</v>
      </c>
      <c r="D1514" t="s">
        <v>2086</v>
      </c>
      <c r="E1514" s="17">
        <v>1.75</v>
      </c>
      <c r="F1514" t="s">
        <v>2087</v>
      </c>
      <c r="G1514">
        <v>0.5</v>
      </c>
      <c r="H1514">
        <v>0.25</v>
      </c>
      <c r="I1514">
        <v>1</v>
      </c>
      <c r="Q1514" s="1"/>
      <c r="R1514" s="1">
        <v>1.8</v>
      </c>
    </row>
    <row r="1515" spans="1:18" ht="15.75" customHeight="1" x14ac:dyDescent="0.25">
      <c r="A1515" s="2">
        <v>5443970</v>
      </c>
      <c r="B1515">
        <v>5443970</v>
      </c>
      <c r="C1515" t="str">
        <f>HYPERLINK("https://ois.dk/map/5443970/sfe", "Link")</f>
        <v>Link</v>
      </c>
      <c r="D1515" t="s">
        <v>2088</v>
      </c>
      <c r="E1515" s="17">
        <v>1.75</v>
      </c>
      <c r="F1515" t="s">
        <v>2089</v>
      </c>
      <c r="G1515">
        <v>0.5</v>
      </c>
      <c r="H1515">
        <v>0.25</v>
      </c>
      <c r="I1515">
        <v>1</v>
      </c>
      <c r="Q1515" s="1"/>
      <c r="R1515" s="1">
        <v>1.38</v>
      </c>
    </row>
    <row r="1516" spans="1:18" ht="15.75" customHeight="1" x14ac:dyDescent="0.25">
      <c r="A1516" s="2">
        <v>5443971</v>
      </c>
      <c r="B1516">
        <v>5443971</v>
      </c>
      <c r="C1516" t="str">
        <f>HYPERLINK("https://ois.dk/map/5443971/sfe", "Link")</f>
        <v>Link</v>
      </c>
      <c r="D1516" t="s">
        <v>2090</v>
      </c>
      <c r="E1516" s="17">
        <v>1.75</v>
      </c>
      <c r="F1516" t="s">
        <v>2091</v>
      </c>
      <c r="G1516">
        <v>0.5</v>
      </c>
      <c r="H1516">
        <v>0.25</v>
      </c>
      <c r="I1516">
        <v>1</v>
      </c>
      <c r="Q1516" s="1"/>
      <c r="R1516" s="1">
        <v>1.2</v>
      </c>
    </row>
    <row r="1517" spans="1:18" ht="15.75" customHeight="1" x14ac:dyDescent="0.25">
      <c r="A1517" s="2">
        <v>5443972</v>
      </c>
      <c r="B1517">
        <v>5443972</v>
      </c>
      <c r="C1517" t="str">
        <f>HYPERLINK("https://ois.dk/map/5443972/sfe", "Link")</f>
        <v>Link</v>
      </c>
      <c r="D1517" t="s">
        <v>2092</v>
      </c>
      <c r="E1517" s="17">
        <v>1.75</v>
      </c>
      <c r="F1517" t="s">
        <v>2093</v>
      </c>
      <c r="G1517">
        <v>0.5</v>
      </c>
      <c r="H1517">
        <v>0.25</v>
      </c>
      <c r="I1517">
        <v>1</v>
      </c>
      <c r="Q1517" s="1"/>
      <c r="R1517" s="1">
        <v>1.23</v>
      </c>
    </row>
    <row r="1518" spans="1:18" ht="15.75" customHeight="1" x14ac:dyDescent="0.25">
      <c r="A1518" s="2">
        <v>5443973</v>
      </c>
      <c r="B1518">
        <v>5443973</v>
      </c>
      <c r="C1518" t="str">
        <f>HYPERLINK("https://ois.dk/map/5443973/sfe", "Link")</f>
        <v>Link</v>
      </c>
      <c r="D1518" t="s">
        <v>2094</v>
      </c>
      <c r="E1518" s="17">
        <v>1.75</v>
      </c>
      <c r="F1518" t="s">
        <v>2095</v>
      </c>
      <c r="G1518">
        <v>0.5</v>
      </c>
      <c r="H1518">
        <v>0.25</v>
      </c>
      <c r="I1518">
        <v>1</v>
      </c>
      <c r="Q1518" s="1"/>
      <c r="R1518" s="1">
        <v>1.21</v>
      </c>
    </row>
    <row r="1519" spans="1:18" ht="15.75" customHeight="1" x14ac:dyDescent="0.25">
      <c r="A1519" s="2">
        <v>5443974</v>
      </c>
      <c r="B1519">
        <v>5443974</v>
      </c>
      <c r="C1519" t="str">
        <f>HYPERLINK("https://ois.dk/map/5443974/sfe", "Link")</f>
        <v>Link</v>
      </c>
      <c r="D1519" t="s">
        <v>2096</v>
      </c>
      <c r="E1519" s="17">
        <v>1.75</v>
      </c>
      <c r="F1519" t="s">
        <v>2097</v>
      </c>
      <c r="G1519">
        <v>0.5</v>
      </c>
      <c r="H1519">
        <v>0.25</v>
      </c>
      <c r="I1519">
        <v>1</v>
      </c>
      <c r="Q1519" s="1"/>
      <c r="R1519" s="1">
        <v>0.83</v>
      </c>
    </row>
    <row r="1520" spans="1:18" ht="15.75" customHeight="1" x14ac:dyDescent="0.25">
      <c r="A1520" s="2">
        <v>5443975</v>
      </c>
      <c r="B1520">
        <v>5443975</v>
      </c>
      <c r="C1520" t="str">
        <f>HYPERLINK("https://ois.dk/map/5443975/sfe", "Link")</f>
        <v>Link</v>
      </c>
      <c r="D1520" t="s">
        <v>2098</v>
      </c>
      <c r="E1520" s="17">
        <v>1.75</v>
      </c>
      <c r="F1520" t="s">
        <v>2099</v>
      </c>
      <c r="G1520">
        <v>0.5</v>
      </c>
      <c r="H1520">
        <v>0.25</v>
      </c>
      <c r="I1520">
        <v>1</v>
      </c>
      <c r="Q1520" s="1"/>
      <c r="R1520" s="1">
        <v>1.19</v>
      </c>
    </row>
    <row r="1521" spans="1:18" ht="15.75" customHeight="1" x14ac:dyDescent="0.25">
      <c r="A1521" s="2">
        <v>5443976</v>
      </c>
      <c r="B1521">
        <v>5443976</v>
      </c>
      <c r="C1521" t="str">
        <f>HYPERLINK("https://ois.dk/map/5443976/sfe", "Link")</f>
        <v>Link</v>
      </c>
      <c r="D1521" t="s">
        <v>2100</v>
      </c>
      <c r="E1521" s="17">
        <v>1.75</v>
      </c>
      <c r="F1521" t="s">
        <v>2101</v>
      </c>
      <c r="G1521">
        <v>0.5</v>
      </c>
      <c r="H1521">
        <v>0.25</v>
      </c>
      <c r="I1521">
        <v>1</v>
      </c>
      <c r="Q1521" s="1"/>
      <c r="R1521" s="1">
        <v>1.28</v>
      </c>
    </row>
    <row r="1522" spans="1:18" ht="15.75" customHeight="1" x14ac:dyDescent="0.25">
      <c r="A1522" s="2">
        <v>5443977</v>
      </c>
      <c r="B1522">
        <v>5443977</v>
      </c>
      <c r="C1522" t="str">
        <f>HYPERLINK("https://ois.dk/map/5443977/sfe", "Link")</f>
        <v>Link</v>
      </c>
      <c r="D1522" t="s">
        <v>2102</v>
      </c>
      <c r="E1522" s="17">
        <v>1.75</v>
      </c>
      <c r="F1522" t="s">
        <v>2103</v>
      </c>
      <c r="G1522">
        <v>0.5</v>
      </c>
      <c r="H1522">
        <v>0.25</v>
      </c>
      <c r="I1522">
        <v>1</v>
      </c>
      <c r="Q1522" s="1"/>
      <c r="R1522" s="1">
        <v>1.73</v>
      </c>
    </row>
    <row r="1523" spans="1:18" ht="15.75" customHeight="1" x14ac:dyDescent="0.25">
      <c r="A1523" s="2">
        <v>5443978</v>
      </c>
      <c r="B1523">
        <v>5443978</v>
      </c>
      <c r="C1523" t="str">
        <f>HYPERLINK("https://ois.dk/map/5443978/sfe", "Link")</f>
        <v>Link</v>
      </c>
      <c r="D1523" t="s">
        <v>2104</v>
      </c>
      <c r="E1523" s="17">
        <v>1.75</v>
      </c>
      <c r="F1523" t="s">
        <v>2105</v>
      </c>
      <c r="G1523">
        <v>0.5</v>
      </c>
      <c r="H1523">
        <v>0.25</v>
      </c>
      <c r="I1523">
        <v>1</v>
      </c>
      <c r="Q1523" s="1"/>
      <c r="R1523" s="1">
        <v>2.04</v>
      </c>
    </row>
    <row r="1524" spans="1:18" ht="15.75" customHeight="1" x14ac:dyDescent="0.25">
      <c r="A1524" s="2">
        <v>5443979</v>
      </c>
      <c r="B1524">
        <v>5443979</v>
      </c>
      <c r="C1524" t="str">
        <f>HYPERLINK("https://ois.dk/map/5443979/sfe", "Link")</f>
        <v>Link</v>
      </c>
      <c r="D1524" t="s">
        <v>2106</v>
      </c>
      <c r="E1524" s="17">
        <v>1.75</v>
      </c>
      <c r="F1524" t="s">
        <v>2107</v>
      </c>
      <c r="G1524">
        <v>0.5</v>
      </c>
      <c r="H1524">
        <v>0.25</v>
      </c>
      <c r="I1524">
        <v>1</v>
      </c>
      <c r="Q1524" s="1"/>
      <c r="R1524" s="1">
        <v>2.0099999999999998</v>
      </c>
    </row>
    <row r="1525" spans="1:18" ht="15.75" customHeight="1" x14ac:dyDescent="0.25">
      <c r="A1525" s="2">
        <v>5443980</v>
      </c>
      <c r="B1525">
        <v>5443980</v>
      </c>
      <c r="C1525" t="str">
        <f>HYPERLINK("https://ois.dk/map/5443980/sfe", "Link")</f>
        <v>Link</v>
      </c>
      <c r="D1525" t="s">
        <v>2108</v>
      </c>
      <c r="E1525" s="17">
        <v>0.75</v>
      </c>
      <c r="F1525" t="s">
        <v>2109</v>
      </c>
      <c r="G1525">
        <v>0.5</v>
      </c>
      <c r="H1525">
        <v>0.25</v>
      </c>
      <c r="Q1525" s="1"/>
      <c r="R1525" s="1"/>
    </row>
    <row r="1526" spans="1:18" ht="15.75" customHeight="1" x14ac:dyDescent="0.25">
      <c r="A1526" s="2">
        <v>5443981</v>
      </c>
      <c r="B1526">
        <v>5443981</v>
      </c>
      <c r="C1526" t="str">
        <f>HYPERLINK("https://ois.dk/map/5443981/sfe", "Link")</f>
        <v>Link</v>
      </c>
      <c r="D1526" t="s">
        <v>2110</v>
      </c>
      <c r="E1526" s="17">
        <v>1.75</v>
      </c>
      <c r="F1526" t="s">
        <v>2111</v>
      </c>
      <c r="G1526">
        <v>0.5</v>
      </c>
      <c r="H1526">
        <v>0.25</v>
      </c>
      <c r="I1526">
        <v>1</v>
      </c>
      <c r="Q1526" s="1"/>
      <c r="R1526" s="1">
        <v>1.89</v>
      </c>
    </row>
    <row r="1527" spans="1:18" ht="15.75" customHeight="1" x14ac:dyDescent="0.25">
      <c r="A1527" s="2">
        <v>5443982</v>
      </c>
      <c r="B1527">
        <v>5443982</v>
      </c>
      <c r="C1527" t="str">
        <f>HYPERLINK("https://ois.dk/map/5443982/sfe", "Link")</f>
        <v>Link</v>
      </c>
      <c r="D1527" t="s">
        <v>2112</v>
      </c>
      <c r="E1527" s="17">
        <v>1.75</v>
      </c>
      <c r="F1527" t="s">
        <v>2113</v>
      </c>
      <c r="G1527">
        <v>0.5</v>
      </c>
      <c r="H1527">
        <v>0.25</v>
      </c>
      <c r="I1527">
        <v>1</v>
      </c>
      <c r="Q1527" s="1"/>
      <c r="R1527" s="1">
        <v>1.48</v>
      </c>
    </row>
    <row r="1528" spans="1:18" ht="15.75" customHeight="1" x14ac:dyDescent="0.25">
      <c r="A1528" s="2">
        <v>5443983</v>
      </c>
      <c r="B1528">
        <v>5443983</v>
      </c>
      <c r="C1528" t="str">
        <f>HYPERLINK("https://ois.dk/map/5443983/sfe", "Link")</f>
        <v>Link</v>
      </c>
      <c r="D1528" t="s">
        <v>2114</v>
      </c>
      <c r="E1528" s="17">
        <v>1.75</v>
      </c>
      <c r="F1528" t="s">
        <v>2115</v>
      </c>
      <c r="G1528">
        <v>0.5</v>
      </c>
      <c r="H1528">
        <v>0.25</v>
      </c>
      <c r="I1528">
        <v>1</v>
      </c>
      <c r="Q1528" s="1"/>
      <c r="R1528" s="1">
        <v>0.97</v>
      </c>
    </row>
    <row r="1529" spans="1:18" ht="15.75" customHeight="1" x14ac:dyDescent="0.25">
      <c r="A1529" s="2">
        <v>5443984</v>
      </c>
      <c r="B1529">
        <v>5443984</v>
      </c>
      <c r="C1529" t="str">
        <f>HYPERLINK("https://ois.dk/map/5443984/sfe", "Link")</f>
        <v>Link</v>
      </c>
      <c r="D1529" t="s">
        <v>2116</v>
      </c>
      <c r="E1529" s="17">
        <v>1.75</v>
      </c>
      <c r="F1529" t="s">
        <v>2117</v>
      </c>
      <c r="G1529">
        <v>0.5</v>
      </c>
      <c r="H1529">
        <v>0.25</v>
      </c>
      <c r="I1529">
        <v>1</v>
      </c>
      <c r="Q1529" s="1"/>
      <c r="R1529" s="1">
        <v>1.18</v>
      </c>
    </row>
    <row r="1530" spans="1:18" ht="15.75" customHeight="1" x14ac:dyDescent="0.25">
      <c r="A1530" s="2">
        <v>5443985</v>
      </c>
      <c r="B1530">
        <v>5443985</v>
      </c>
      <c r="C1530" t="str">
        <f>HYPERLINK("https://ois.dk/map/5443985/sfe", "Link")</f>
        <v>Link</v>
      </c>
      <c r="D1530" t="s">
        <v>2118</v>
      </c>
      <c r="E1530" s="17">
        <v>1.75</v>
      </c>
      <c r="F1530" t="s">
        <v>2119</v>
      </c>
      <c r="G1530">
        <v>0.5</v>
      </c>
      <c r="H1530">
        <v>0.25</v>
      </c>
      <c r="I1530">
        <v>1</v>
      </c>
      <c r="Q1530" s="1"/>
      <c r="R1530" s="1">
        <v>1.69</v>
      </c>
    </row>
    <row r="1531" spans="1:18" ht="15.75" customHeight="1" x14ac:dyDescent="0.25">
      <c r="A1531" s="2">
        <v>5443986</v>
      </c>
      <c r="B1531">
        <v>5443986</v>
      </c>
      <c r="C1531" t="str">
        <f>HYPERLINK("https://ois.dk/map/5443986/sfe", "Link")</f>
        <v>Link</v>
      </c>
      <c r="D1531" t="s">
        <v>2120</v>
      </c>
      <c r="E1531" s="17">
        <v>1.75</v>
      </c>
      <c r="F1531" t="s">
        <v>2121</v>
      </c>
      <c r="G1531">
        <v>0.5</v>
      </c>
      <c r="H1531">
        <v>0.25</v>
      </c>
      <c r="I1531">
        <v>1</v>
      </c>
      <c r="Q1531" s="1"/>
      <c r="R1531" s="1">
        <v>1.91</v>
      </c>
    </row>
    <row r="1532" spans="1:18" ht="15.75" customHeight="1" x14ac:dyDescent="0.25">
      <c r="A1532" s="2">
        <v>5443987</v>
      </c>
      <c r="B1532">
        <v>5443987</v>
      </c>
      <c r="C1532" t="str">
        <f>HYPERLINK("https://ois.dk/map/5443987/sfe", "Link")</f>
        <v>Link</v>
      </c>
      <c r="D1532" t="s">
        <v>2122</v>
      </c>
      <c r="E1532" s="17">
        <v>1.75</v>
      </c>
      <c r="F1532" t="s">
        <v>2123</v>
      </c>
      <c r="G1532">
        <v>0.5</v>
      </c>
      <c r="H1532">
        <v>0.25</v>
      </c>
      <c r="I1532">
        <v>1</v>
      </c>
      <c r="Q1532" s="1"/>
      <c r="R1532" s="1">
        <v>1.44</v>
      </c>
    </row>
    <row r="1533" spans="1:18" ht="15.75" customHeight="1" x14ac:dyDescent="0.25">
      <c r="A1533" s="2">
        <v>5443988</v>
      </c>
      <c r="B1533">
        <v>5443988</v>
      </c>
      <c r="C1533" t="str">
        <f>HYPERLINK("https://ois.dk/map/5443988/sfe", "Link")</f>
        <v>Link</v>
      </c>
      <c r="D1533" t="s">
        <v>2124</v>
      </c>
      <c r="E1533" s="17">
        <v>1.75</v>
      </c>
      <c r="F1533" t="s">
        <v>2125</v>
      </c>
      <c r="G1533">
        <v>0.5</v>
      </c>
      <c r="H1533">
        <v>0.25</v>
      </c>
      <c r="I1533">
        <v>1</v>
      </c>
      <c r="Q1533" s="1"/>
      <c r="R1533" s="1">
        <v>1.64</v>
      </c>
    </row>
    <row r="1534" spans="1:18" ht="15.75" customHeight="1" x14ac:dyDescent="0.25">
      <c r="A1534" s="2">
        <v>5443989</v>
      </c>
      <c r="B1534">
        <v>5443989</v>
      </c>
      <c r="C1534" t="str">
        <f>HYPERLINK("https://ois.dk/map/5443989/sfe", "Link")</f>
        <v>Link</v>
      </c>
      <c r="D1534" t="s">
        <v>2126</v>
      </c>
      <c r="E1534" s="17">
        <v>1.75</v>
      </c>
      <c r="F1534" t="s">
        <v>2127</v>
      </c>
      <c r="G1534">
        <v>0.5</v>
      </c>
      <c r="H1534">
        <v>0.25</v>
      </c>
      <c r="I1534">
        <v>1</v>
      </c>
      <c r="Q1534" s="1"/>
      <c r="R1534" s="1">
        <v>1.6</v>
      </c>
    </row>
    <row r="1535" spans="1:18" ht="15.75" customHeight="1" x14ac:dyDescent="0.25">
      <c r="A1535" s="2">
        <v>5443990</v>
      </c>
      <c r="B1535">
        <v>5443990</v>
      </c>
      <c r="C1535" t="str">
        <f>HYPERLINK("https://ois.dk/map/5443990/sfe", "Link")</f>
        <v>Link</v>
      </c>
      <c r="D1535" t="s">
        <v>2128</v>
      </c>
      <c r="E1535" s="17">
        <v>1.75</v>
      </c>
      <c r="F1535" t="s">
        <v>2129</v>
      </c>
      <c r="G1535">
        <v>0.5</v>
      </c>
      <c r="H1535">
        <v>0.25</v>
      </c>
      <c r="I1535">
        <v>1</v>
      </c>
      <c r="Q1535" s="1"/>
      <c r="R1535" s="1">
        <v>1.62</v>
      </c>
    </row>
    <row r="1536" spans="1:18" ht="15.75" customHeight="1" x14ac:dyDescent="0.25">
      <c r="A1536" s="2">
        <v>5443991</v>
      </c>
      <c r="B1536">
        <v>5443991</v>
      </c>
      <c r="C1536" t="str">
        <f>HYPERLINK("https://ois.dk/map/5443991/sfe", "Link")</f>
        <v>Link</v>
      </c>
      <c r="D1536" t="s">
        <v>2130</v>
      </c>
      <c r="E1536" s="17">
        <v>1.75</v>
      </c>
      <c r="F1536" t="s">
        <v>2131</v>
      </c>
      <c r="G1536">
        <v>0.5</v>
      </c>
      <c r="H1536">
        <v>0.25</v>
      </c>
      <c r="I1536">
        <v>1</v>
      </c>
      <c r="Q1536" s="1"/>
      <c r="R1536" s="1">
        <v>1.67</v>
      </c>
    </row>
    <row r="1537" spans="1:18" ht="15.75" customHeight="1" x14ac:dyDescent="0.25">
      <c r="A1537" s="2">
        <v>5443992</v>
      </c>
      <c r="B1537">
        <v>5443992</v>
      </c>
      <c r="C1537" t="str">
        <f>HYPERLINK("https://ois.dk/map/5443992/sfe", "Link")</f>
        <v>Link</v>
      </c>
      <c r="D1537" t="s">
        <v>2132</v>
      </c>
      <c r="E1537" s="17">
        <v>1.75</v>
      </c>
      <c r="F1537" t="s">
        <v>2133</v>
      </c>
      <c r="G1537">
        <v>0.5</v>
      </c>
      <c r="H1537">
        <v>0.25</v>
      </c>
      <c r="I1537">
        <v>1</v>
      </c>
      <c r="Q1537" s="1"/>
      <c r="R1537" s="1">
        <v>1.62</v>
      </c>
    </row>
    <row r="1538" spans="1:18" ht="15.75" customHeight="1" x14ac:dyDescent="0.25">
      <c r="A1538" s="2">
        <v>5443993</v>
      </c>
      <c r="B1538">
        <v>5443993</v>
      </c>
      <c r="C1538" t="str">
        <f>HYPERLINK("https://ois.dk/map/5443993/sfe", "Link")</f>
        <v>Link</v>
      </c>
      <c r="D1538" t="s">
        <v>2134</v>
      </c>
      <c r="E1538" s="17">
        <v>1.75</v>
      </c>
      <c r="F1538" t="s">
        <v>2135</v>
      </c>
      <c r="G1538">
        <v>0.5</v>
      </c>
      <c r="H1538">
        <v>0.25</v>
      </c>
      <c r="I1538">
        <v>1</v>
      </c>
      <c r="Q1538" s="1"/>
      <c r="R1538" s="1">
        <v>1.74</v>
      </c>
    </row>
    <row r="1539" spans="1:18" ht="15.75" customHeight="1" x14ac:dyDescent="0.25">
      <c r="A1539" s="2">
        <v>5443994</v>
      </c>
      <c r="B1539">
        <v>5443994</v>
      </c>
      <c r="C1539" t="str">
        <f>HYPERLINK("https://ois.dk/map/5443994/sfe", "Link")</f>
        <v>Link</v>
      </c>
      <c r="D1539" t="s">
        <v>2136</v>
      </c>
      <c r="E1539" s="17">
        <v>1.75</v>
      </c>
      <c r="F1539" t="s">
        <v>2137</v>
      </c>
      <c r="G1539">
        <v>0.5</v>
      </c>
      <c r="H1539">
        <v>0.25</v>
      </c>
      <c r="I1539">
        <v>1</v>
      </c>
      <c r="Q1539" s="1"/>
      <c r="R1539" s="1">
        <v>1.49</v>
      </c>
    </row>
    <row r="1540" spans="1:18" ht="15.75" customHeight="1" x14ac:dyDescent="0.25">
      <c r="A1540" s="2">
        <v>5443995</v>
      </c>
      <c r="B1540">
        <v>5443995</v>
      </c>
      <c r="C1540" t="str">
        <f>HYPERLINK("https://ois.dk/map/5443995/sfe", "Link")</f>
        <v>Link</v>
      </c>
      <c r="D1540" t="s">
        <v>2138</v>
      </c>
      <c r="E1540" s="17">
        <v>1.75</v>
      </c>
      <c r="F1540" t="s">
        <v>2139</v>
      </c>
      <c r="G1540">
        <v>0.5</v>
      </c>
      <c r="H1540">
        <v>0.25</v>
      </c>
      <c r="I1540">
        <v>1</v>
      </c>
      <c r="Q1540" s="1"/>
      <c r="R1540" s="1">
        <v>1.5</v>
      </c>
    </row>
    <row r="1541" spans="1:18" ht="15.75" customHeight="1" x14ac:dyDescent="0.25">
      <c r="A1541" s="2">
        <v>5443996</v>
      </c>
      <c r="B1541">
        <v>5443996</v>
      </c>
      <c r="C1541" t="str">
        <f>HYPERLINK("https://ois.dk/map/5443996/sfe", "Link")</f>
        <v>Link</v>
      </c>
      <c r="D1541" t="s">
        <v>2140</v>
      </c>
      <c r="E1541" s="17">
        <v>1.75</v>
      </c>
      <c r="F1541" t="s">
        <v>2141</v>
      </c>
      <c r="G1541">
        <v>0.5</v>
      </c>
      <c r="H1541">
        <v>0.25</v>
      </c>
      <c r="I1541">
        <v>1</v>
      </c>
      <c r="Q1541" s="1"/>
      <c r="R1541" s="1">
        <v>1.5</v>
      </c>
    </row>
    <row r="1542" spans="1:18" ht="15.75" customHeight="1" x14ac:dyDescent="0.25">
      <c r="A1542" s="2">
        <v>5443997</v>
      </c>
      <c r="B1542">
        <v>5443997</v>
      </c>
      <c r="C1542" t="str">
        <f>HYPERLINK("https://ois.dk/map/5443997/sfe", "Link")</f>
        <v>Link</v>
      </c>
      <c r="D1542" t="s">
        <v>2142</v>
      </c>
      <c r="E1542" s="17">
        <v>1.75</v>
      </c>
      <c r="F1542" t="s">
        <v>2143</v>
      </c>
      <c r="G1542">
        <v>0.5</v>
      </c>
      <c r="H1542">
        <v>0.25</v>
      </c>
      <c r="I1542">
        <v>1</v>
      </c>
      <c r="Q1542" s="1"/>
      <c r="R1542" s="1">
        <v>1.38</v>
      </c>
    </row>
    <row r="1543" spans="1:18" ht="15.75" customHeight="1" x14ac:dyDescent="0.25">
      <c r="A1543" s="2">
        <v>5443998</v>
      </c>
      <c r="B1543">
        <v>5443998</v>
      </c>
      <c r="C1543" t="str">
        <f>HYPERLINK("https://ois.dk/map/5443998/sfe", "Link")</f>
        <v>Link</v>
      </c>
      <c r="D1543" t="s">
        <v>2144</v>
      </c>
      <c r="E1543" s="17">
        <v>1.75</v>
      </c>
      <c r="F1543" t="s">
        <v>2145</v>
      </c>
      <c r="G1543">
        <v>0.5</v>
      </c>
      <c r="H1543">
        <v>0.25</v>
      </c>
      <c r="I1543">
        <v>1</v>
      </c>
      <c r="Q1543" s="1"/>
      <c r="R1543" s="1">
        <v>1.41</v>
      </c>
    </row>
    <row r="1544" spans="1:18" ht="15.75" customHeight="1" x14ac:dyDescent="0.25">
      <c r="A1544" s="2">
        <v>5443999</v>
      </c>
      <c r="B1544">
        <v>5443999</v>
      </c>
      <c r="C1544" t="str">
        <f>HYPERLINK("https://ois.dk/map/5443999/sfe", "Link")</f>
        <v>Link</v>
      </c>
      <c r="D1544" t="s">
        <v>2146</v>
      </c>
      <c r="E1544" s="17">
        <v>1.75</v>
      </c>
      <c r="F1544" t="s">
        <v>2147</v>
      </c>
      <c r="G1544">
        <v>0.5</v>
      </c>
      <c r="H1544">
        <v>0.25</v>
      </c>
      <c r="I1544">
        <v>1</v>
      </c>
      <c r="Q1544" s="1"/>
      <c r="R1544" s="1">
        <v>1.52</v>
      </c>
    </row>
    <row r="1545" spans="1:18" ht="15.75" customHeight="1" x14ac:dyDescent="0.25">
      <c r="A1545" s="2">
        <v>5444000</v>
      </c>
      <c r="B1545">
        <v>5444000</v>
      </c>
      <c r="C1545" t="str">
        <f>HYPERLINK("https://ois.dk/map/5444000/sfe", "Link")</f>
        <v>Link</v>
      </c>
      <c r="D1545" t="s">
        <v>2148</v>
      </c>
      <c r="E1545" s="17">
        <v>1.75</v>
      </c>
      <c r="F1545" t="s">
        <v>2149</v>
      </c>
      <c r="G1545">
        <v>0.5</v>
      </c>
      <c r="H1545">
        <v>0.25</v>
      </c>
      <c r="I1545">
        <v>1</v>
      </c>
      <c r="Q1545" s="1"/>
      <c r="R1545" s="1">
        <v>1.54</v>
      </c>
    </row>
    <row r="1546" spans="1:18" ht="15.75" customHeight="1" x14ac:dyDescent="0.25">
      <c r="A1546" s="2">
        <v>5444001</v>
      </c>
      <c r="B1546">
        <v>5444001</v>
      </c>
      <c r="C1546" t="str">
        <f>HYPERLINK("https://ois.dk/map/5444001/sfe", "Link")</f>
        <v>Link</v>
      </c>
      <c r="D1546" t="s">
        <v>2150</v>
      </c>
      <c r="E1546" s="17">
        <v>1.75</v>
      </c>
      <c r="F1546" t="s">
        <v>2151</v>
      </c>
      <c r="G1546">
        <v>0.5</v>
      </c>
      <c r="H1546">
        <v>0.25</v>
      </c>
      <c r="I1546">
        <v>1</v>
      </c>
      <c r="Q1546" s="1"/>
      <c r="R1546" s="1">
        <v>1.52</v>
      </c>
    </row>
    <row r="1547" spans="1:18" ht="15.75" customHeight="1" x14ac:dyDescent="0.25">
      <c r="A1547" s="2">
        <v>5444002</v>
      </c>
      <c r="B1547">
        <v>5444002</v>
      </c>
      <c r="C1547" t="str">
        <f>HYPERLINK("https://ois.dk/map/5444002/sfe", "Link")</f>
        <v>Link</v>
      </c>
      <c r="D1547" t="s">
        <v>2152</v>
      </c>
      <c r="E1547" s="17">
        <v>1.75</v>
      </c>
      <c r="F1547" t="s">
        <v>2153</v>
      </c>
      <c r="G1547">
        <v>0.5</v>
      </c>
      <c r="H1547">
        <v>0.25</v>
      </c>
      <c r="I1547">
        <v>1</v>
      </c>
      <c r="Q1547" s="1"/>
      <c r="R1547" s="1">
        <v>1.54</v>
      </c>
    </row>
    <row r="1548" spans="1:18" ht="15.75" customHeight="1" x14ac:dyDescent="0.25">
      <c r="A1548" s="2">
        <v>5444003</v>
      </c>
      <c r="B1548">
        <v>5444003</v>
      </c>
      <c r="C1548" t="str">
        <f>HYPERLINK("https://ois.dk/map/5444003/sfe", "Link")</f>
        <v>Link</v>
      </c>
      <c r="D1548" t="s">
        <v>2154</v>
      </c>
      <c r="E1548" s="17">
        <v>1.75</v>
      </c>
      <c r="F1548" t="s">
        <v>2155</v>
      </c>
      <c r="G1548">
        <v>0.5</v>
      </c>
      <c r="H1548">
        <v>0.25</v>
      </c>
      <c r="I1548">
        <v>1</v>
      </c>
      <c r="Q1548" s="1"/>
      <c r="R1548" s="1">
        <v>1.53</v>
      </c>
    </row>
    <row r="1549" spans="1:18" ht="15.75" customHeight="1" x14ac:dyDescent="0.25">
      <c r="A1549" s="2">
        <v>5444004</v>
      </c>
      <c r="B1549">
        <v>5444004</v>
      </c>
      <c r="C1549" t="str">
        <f>HYPERLINK("https://ois.dk/map/5444004/sfe", "Link")</f>
        <v>Link</v>
      </c>
      <c r="D1549" t="s">
        <v>2156</v>
      </c>
      <c r="E1549" s="17">
        <v>1.75</v>
      </c>
      <c r="F1549" t="s">
        <v>2157</v>
      </c>
      <c r="G1549">
        <v>0.5</v>
      </c>
      <c r="H1549">
        <v>0.25</v>
      </c>
      <c r="I1549">
        <v>1</v>
      </c>
      <c r="Q1549" s="1"/>
      <c r="R1549" s="1">
        <v>1.52</v>
      </c>
    </row>
    <row r="1550" spans="1:18" ht="15.75" customHeight="1" x14ac:dyDescent="0.25">
      <c r="A1550" s="2">
        <v>5444005</v>
      </c>
      <c r="B1550">
        <v>5444005</v>
      </c>
      <c r="C1550" t="str">
        <f>HYPERLINK("https://ois.dk/map/5444005/sfe", "Link")</f>
        <v>Link</v>
      </c>
      <c r="D1550" t="s">
        <v>2158</v>
      </c>
      <c r="E1550" s="17">
        <v>1.75</v>
      </c>
      <c r="F1550" t="s">
        <v>2159</v>
      </c>
      <c r="G1550">
        <v>0.5</v>
      </c>
      <c r="H1550">
        <v>0.25</v>
      </c>
      <c r="I1550">
        <v>1</v>
      </c>
      <c r="Q1550" s="1"/>
      <c r="R1550" s="1">
        <v>0.69</v>
      </c>
    </row>
    <row r="1551" spans="1:18" ht="15.75" customHeight="1" x14ac:dyDescent="0.25">
      <c r="A1551" s="2">
        <v>5444006</v>
      </c>
      <c r="B1551">
        <v>5444006</v>
      </c>
      <c r="C1551" t="str">
        <f>HYPERLINK("https://ois.dk/map/5444006/sfe", "Link")</f>
        <v>Link</v>
      </c>
      <c r="D1551" t="s">
        <v>2160</v>
      </c>
      <c r="E1551" s="17">
        <v>1.75</v>
      </c>
      <c r="F1551" t="s">
        <v>2161</v>
      </c>
      <c r="G1551">
        <v>0.5</v>
      </c>
      <c r="H1551">
        <v>0.25</v>
      </c>
      <c r="I1551">
        <v>1</v>
      </c>
      <c r="Q1551" s="1"/>
      <c r="R1551" s="1">
        <v>0.54</v>
      </c>
    </row>
    <row r="1552" spans="1:18" ht="15.75" customHeight="1" x14ac:dyDescent="0.25">
      <c r="A1552" s="2">
        <v>5444007</v>
      </c>
      <c r="B1552">
        <v>5444007</v>
      </c>
      <c r="C1552" t="str">
        <f>HYPERLINK("https://ois.dk/map/5444007/sfe", "Link")</f>
        <v>Link</v>
      </c>
      <c r="D1552" t="s">
        <v>2162</v>
      </c>
      <c r="E1552" s="17">
        <v>1.75</v>
      </c>
      <c r="F1552" t="s">
        <v>2163</v>
      </c>
      <c r="G1552">
        <v>0.5</v>
      </c>
      <c r="H1552">
        <v>0.25</v>
      </c>
      <c r="I1552">
        <v>1</v>
      </c>
      <c r="Q1552" s="1"/>
      <c r="R1552" s="1">
        <v>0.85</v>
      </c>
    </row>
    <row r="1553" spans="1:18" ht="15.75" customHeight="1" x14ac:dyDescent="0.25">
      <c r="A1553" s="2">
        <v>5444008</v>
      </c>
      <c r="B1553">
        <v>5444008</v>
      </c>
      <c r="C1553" t="str">
        <f>HYPERLINK("https://ois.dk/map/5444008/sfe", "Link")</f>
        <v>Link</v>
      </c>
      <c r="D1553" t="s">
        <v>2164</v>
      </c>
      <c r="E1553" s="17">
        <v>1.75</v>
      </c>
      <c r="F1553" t="s">
        <v>2165</v>
      </c>
      <c r="G1553">
        <v>0.5</v>
      </c>
      <c r="H1553">
        <v>0.25</v>
      </c>
      <c r="I1553">
        <v>1</v>
      </c>
      <c r="Q1553" s="1"/>
      <c r="R1553" s="1">
        <v>1.75</v>
      </c>
    </row>
    <row r="1554" spans="1:18" ht="15.75" customHeight="1" x14ac:dyDescent="0.25">
      <c r="A1554" s="2">
        <v>5444009</v>
      </c>
      <c r="B1554">
        <v>5444009</v>
      </c>
      <c r="C1554" t="str">
        <f>HYPERLINK("https://ois.dk/map/5444009/sfe", "Link")</f>
        <v>Link</v>
      </c>
      <c r="D1554" t="s">
        <v>2166</v>
      </c>
      <c r="E1554" s="17">
        <v>1.75</v>
      </c>
      <c r="F1554" t="s">
        <v>2167</v>
      </c>
      <c r="G1554">
        <v>0.5</v>
      </c>
      <c r="H1554">
        <v>0.25</v>
      </c>
      <c r="I1554">
        <v>1</v>
      </c>
      <c r="Q1554" s="1"/>
      <c r="R1554" s="1">
        <v>0.79</v>
      </c>
    </row>
    <row r="1555" spans="1:18" ht="15.75" customHeight="1" x14ac:dyDescent="0.25">
      <c r="A1555" s="2">
        <v>5444010</v>
      </c>
      <c r="B1555">
        <v>5444010</v>
      </c>
      <c r="C1555" t="str">
        <f>HYPERLINK("https://ois.dk/map/5444010/sfe", "Link")</f>
        <v>Link</v>
      </c>
      <c r="D1555" t="s">
        <v>2168</v>
      </c>
      <c r="E1555" s="17">
        <v>1.75</v>
      </c>
      <c r="F1555" t="s">
        <v>2169</v>
      </c>
      <c r="G1555">
        <v>0.5</v>
      </c>
      <c r="H1555">
        <v>0.25</v>
      </c>
      <c r="I1555">
        <v>1</v>
      </c>
      <c r="Q1555" s="1"/>
      <c r="R1555" s="1">
        <v>0.61</v>
      </c>
    </row>
    <row r="1556" spans="1:18" ht="15.75" customHeight="1" x14ac:dyDescent="0.25">
      <c r="A1556" s="2">
        <v>5444011</v>
      </c>
      <c r="B1556">
        <v>5444011</v>
      </c>
      <c r="C1556" t="str">
        <f>HYPERLINK("https://ois.dk/map/5444011/sfe", "Link")</f>
        <v>Link</v>
      </c>
      <c r="D1556" t="s">
        <v>2170</v>
      </c>
      <c r="E1556" s="17">
        <v>1.75</v>
      </c>
      <c r="F1556" t="s">
        <v>2171</v>
      </c>
      <c r="G1556">
        <v>0.5</v>
      </c>
      <c r="H1556">
        <v>0.25</v>
      </c>
      <c r="I1556">
        <v>1</v>
      </c>
      <c r="Q1556" s="1"/>
      <c r="R1556" s="1">
        <v>0.99</v>
      </c>
    </row>
    <row r="1557" spans="1:18" ht="15.75" customHeight="1" x14ac:dyDescent="0.25">
      <c r="A1557" s="2">
        <v>5444012</v>
      </c>
      <c r="B1557">
        <v>5444012</v>
      </c>
      <c r="C1557" t="str">
        <f>HYPERLINK("https://ois.dk/map/5444012/sfe", "Link")</f>
        <v>Link</v>
      </c>
      <c r="D1557" t="s">
        <v>2172</v>
      </c>
      <c r="E1557" s="17">
        <v>1.75</v>
      </c>
      <c r="F1557" t="s">
        <v>2173</v>
      </c>
      <c r="G1557">
        <v>0.5</v>
      </c>
      <c r="H1557">
        <v>0.25</v>
      </c>
      <c r="I1557">
        <v>1</v>
      </c>
      <c r="Q1557" s="1"/>
      <c r="R1557" s="1">
        <v>0.84</v>
      </c>
    </row>
    <row r="1558" spans="1:18" ht="15.75" customHeight="1" x14ac:dyDescent="0.25">
      <c r="A1558" s="2">
        <v>5444013</v>
      </c>
      <c r="B1558">
        <v>5444013</v>
      </c>
      <c r="C1558" t="str">
        <f>HYPERLINK("https://ois.dk/map/5444013/sfe", "Link")</f>
        <v>Link</v>
      </c>
      <c r="D1558" t="s">
        <v>2174</v>
      </c>
      <c r="E1558" s="17">
        <v>1.75</v>
      </c>
      <c r="F1558" t="s">
        <v>2175</v>
      </c>
      <c r="G1558">
        <v>0.5</v>
      </c>
      <c r="H1558">
        <v>0.25</v>
      </c>
      <c r="I1558">
        <v>1</v>
      </c>
      <c r="Q1558" s="1"/>
      <c r="R1558" s="1">
        <v>0.57999999999999996</v>
      </c>
    </row>
    <row r="1559" spans="1:18" ht="15.75" customHeight="1" x14ac:dyDescent="0.25">
      <c r="A1559" s="2">
        <v>5444014</v>
      </c>
      <c r="B1559">
        <v>5444014</v>
      </c>
      <c r="C1559" t="str">
        <f>HYPERLINK("https://ois.dk/map/5444014/sfe", "Link")</f>
        <v>Link</v>
      </c>
      <c r="D1559" t="s">
        <v>2176</v>
      </c>
      <c r="E1559" s="17">
        <v>1.75</v>
      </c>
      <c r="F1559" t="s">
        <v>2177</v>
      </c>
      <c r="G1559">
        <v>0.5</v>
      </c>
      <c r="H1559">
        <v>0.25</v>
      </c>
      <c r="I1559">
        <v>1</v>
      </c>
      <c r="Q1559" s="1"/>
      <c r="R1559" s="1">
        <v>0.56000000000000005</v>
      </c>
    </row>
    <row r="1560" spans="1:18" ht="15.75" customHeight="1" x14ac:dyDescent="0.25">
      <c r="A1560" s="2">
        <v>5444015</v>
      </c>
      <c r="B1560">
        <v>5444015</v>
      </c>
      <c r="C1560" t="str">
        <f>HYPERLINK("https://ois.dk/map/5444015/sfe", "Link")</f>
        <v>Link</v>
      </c>
      <c r="D1560" t="s">
        <v>2178</v>
      </c>
      <c r="E1560" s="17">
        <v>1.75</v>
      </c>
      <c r="F1560" t="s">
        <v>2179</v>
      </c>
      <c r="G1560">
        <v>0.5</v>
      </c>
      <c r="H1560">
        <v>0.25</v>
      </c>
      <c r="I1560">
        <v>1</v>
      </c>
      <c r="Q1560" s="1"/>
      <c r="R1560" s="1">
        <v>0.46</v>
      </c>
    </row>
    <row r="1561" spans="1:18" ht="15.75" customHeight="1" x14ac:dyDescent="0.25">
      <c r="A1561" s="2">
        <v>5444016</v>
      </c>
      <c r="B1561">
        <v>5444016</v>
      </c>
      <c r="C1561" t="str">
        <f>HYPERLINK("https://ois.dk/map/5444016/sfe", "Link")</f>
        <v>Link</v>
      </c>
      <c r="D1561" t="s">
        <v>2180</v>
      </c>
      <c r="E1561" s="17">
        <v>1.75</v>
      </c>
      <c r="F1561" t="s">
        <v>2181</v>
      </c>
      <c r="G1561">
        <v>0.5</v>
      </c>
      <c r="H1561">
        <v>0.25</v>
      </c>
      <c r="I1561">
        <v>1</v>
      </c>
      <c r="Q1561" s="1"/>
      <c r="R1561" s="1">
        <v>0.46</v>
      </c>
    </row>
    <row r="1562" spans="1:18" ht="15.75" customHeight="1" x14ac:dyDescent="0.25">
      <c r="A1562" s="2">
        <v>5444017</v>
      </c>
      <c r="B1562">
        <v>5444017</v>
      </c>
      <c r="C1562" t="str">
        <f>HYPERLINK("https://ois.dk/map/5444017/sfe", "Link")</f>
        <v>Link</v>
      </c>
      <c r="D1562" t="s">
        <v>2182</v>
      </c>
      <c r="E1562" s="17">
        <v>1.75</v>
      </c>
      <c r="F1562" t="s">
        <v>2183</v>
      </c>
      <c r="G1562">
        <v>0.5</v>
      </c>
      <c r="H1562">
        <v>0.25</v>
      </c>
      <c r="I1562">
        <v>1</v>
      </c>
      <c r="Q1562" s="1"/>
      <c r="R1562" s="1">
        <v>0.76</v>
      </c>
    </row>
    <row r="1563" spans="1:18" ht="15.75" customHeight="1" x14ac:dyDescent="0.25">
      <c r="A1563" s="2">
        <v>5444018</v>
      </c>
      <c r="B1563">
        <v>5444018</v>
      </c>
      <c r="C1563" t="str">
        <f>HYPERLINK("https://ois.dk/map/5444018/sfe", "Link")</f>
        <v>Link</v>
      </c>
      <c r="D1563" t="s">
        <v>2184</v>
      </c>
      <c r="E1563" s="17">
        <v>1.75</v>
      </c>
      <c r="F1563" t="s">
        <v>2185</v>
      </c>
      <c r="G1563">
        <v>0.5</v>
      </c>
      <c r="H1563">
        <v>0.25</v>
      </c>
      <c r="I1563">
        <v>1</v>
      </c>
      <c r="Q1563" s="1"/>
      <c r="R1563" s="1">
        <v>0.52</v>
      </c>
    </row>
    <row r="1564" spans="1:18" ht="15.75" customHeight="1" x14ac:dyDescent="0.25">
      <c r="A1564" s="2">
        <v>5444019</v>
      </c>
      <c r="B1564">
        <v>5444019</v>
      </c>
      <c r="C1564" t="str">
        <f>HYPERLINK("https://ois.dk/map/5444019/sfe", "Link")</f>
        <v>Link</v>
      </c>
      <c r="D1564" t="s">
        <v>2186</v>
      </c>
      <c r="E1564" s="17">
        <v>1.75</v>
      </c>
      <c r="F1564" t="s">
        <v>2187</v>
      </c>
      <c r="G1564">
        <v>0.5</v>
      </c>
      <c r="H1564">
        <v>0.25</v>
      </c>
      <c r="I1564">
        <v>1</v>
      </c>
      <c r="Q1564" s="1"/>
      <c r="R1564" s="1">
        <v>0.45</v>
      </c>
    </row>
    <row r="1565" spans="1:18" ht="15.75" customHeight="1" x14ac:dyDescent="0.25">
      <c r="A1565" s="2">
        <v>5444020</v>
      </c>
      <c r="B1565">
        <v>5444020</v>
      </c>
      <c r="C1565" t="str">
        <f>HYPERLINK("https://ois.dk/map/5444020/sfe", "Link")</f>
        <v>Link</v>
      </c>
      <c r="D1565" t="s">
        <v>2188</v>
      </c>
      <c r="E1565" s="17">
        <v>1.75</v>
      </c>
      <c r="F1565" t="s">
        <v>2189</v>
      </c>
      <c r="G1565">
        <v>0.5</v>
      </c>
      <c r="H1565">
        <v>0.25</v>
      </c>
      <c r="I1565">
        <v>1</v>
      </c>
      <c r="Q1565" s="1"/>
      <c r="R1565" s="1">
        <v>0.39</v>
      </c>
    </row>
    <row r="1566" spans="1:18" ht="15.75" customHeight="1" x14ac:dyDescent="0.25">
      <c r="A1566" s="2">
        <v>5444021</v>
      </c>
      <c r="B1566">
        <v>5444021</v>
      </c>
      <c r="C1566" t="str">
        <f>HYPERLINK("https://ois.dk/map/5444021/sfe", "Link")</f>
        <v>Link</v>
      </c>
      <c r="D1566" t="s">
        <v>2190</v>
      </c>
      <c r="E1566" s="17">
        <v>1.75</v>
      </c>
      <c r="F1566" t="s">
        <v>2191</v>
      </c>
      <c r="G1566">
        <v>0.5</v>
      </c>
      <c r="H1566">
        <v>0.25</v>
      </c>
      <c r="I1566">
        <v>1</v>
      </c>
      <c r="Q1566" s="1"/>
      <c r="R1566" s="1">
        <v>0.43</v>
      </c>
    </row>
    <row r="1567" spans="1:18" ht="15.75" customHeight="1" x14ac:dyDescent="0.25">
      <c r="A1567" s="2">
        <v>5444022</v>
      </c>
      <c r="B1567">
        <v>5444022</v>
      </c>
      <c r="C1567" t="str">
        <f>HYPERLINK("https://ois.dk/map/5444022/sfe", "Link")</f>
        <v>Link</v>
      </c>
      <c r="D1567" t="s">
        <v>2192</v>
      </c>
      <c r="E1567" s="17">
        <v>1.75</v>
      </c>
      <c r="F1567" t="s">
        <v>2193</v>
      </c>
      <c r="G1567">
        <v>0.5</v>
      </c>
      <c r="H1567">
        <v>0.25</v>
      </c>
      <c r="I1567">
        <v>1</v>
      </c>
      <c r="Q1567" s="1"/>
      <c r="R1567" s="1">
        <v>0.63</v>
      </c>
    </row>
    <row r="1568" spans="1:18" ht="15.75" customHeight="1" x14ac:dyDescent="0.25">
      <c r="A1568" s="2">
        <v>5444023</v>
      </c>
      <c r="B1568">
        <v>5444023</v>
      </c>
      <c r="C1568" t="str">
        <f>HYPERLINK("https://ois.dk/map/5444023/sfe", "Link")</f>
        <v>Link</v>
      </c>
      <c r="D1568" t="s">
        <v>2194</v>
      </c>
      <c r="E1568" s="17">
        <v>1.75</v>
      </c>
      <c r="F1568" t="s">
        <v>2195</v>
      </c>
      <c r="G1568">
        <v>0.5</v>
      </c>
      <c r="H1568">
        <v>0.25</v>
      </c>
      <c r="I1568">
        <v>1</v>
      </c>
      <c r="Q1568" s="1"/>
      <c r="R1568" s="1">
        <v>0.74</v>
      </c>
    </row>
    <row r="1569" spans="1:18" ht="15.75" customHeight="1" x14ac:dyDescent="0.25">
      <c r="A1569" s="2">
        <v>5444024</v>
      </c>
      <c r="B1569">
        <v>5444024</v>
      </c>
      <c r="C1569" t="str">
        <f>HYPERLINK("https://ois.dk/map/5444024/sfe", "Link")</f>
        <v>Link</v>
      </c>
      <c r="D1569" t="s">
        <v>2196</v>
      </c>
      <c r="E1569" s="17">
        <v>1.75</v>
      </c>
      <c r="F1569" t="s">
        <v>2197</v>
      </c>
      <c r="G1569">
        <v>0.5</v>
      </c>
      <c r="H1569">
        <v>0.25</v>
      </c>
      <c r="I1569">
        <v>1</v>
      </c>
      <c r="Q1569" s="1"/>
      <c r="R1569" s="1">
        <v>0.52</v>
      </c>
    </row>
    <row r="1570" spans="1:18" ht="15.75" customHeight="1" x14ac:dyDescent="0.25">
      <c r="A1570" s="2">
        <v>5444025</v>
      </c>
      <c r="B1570">
        <v>5444025</v>
      </c>
      <c r="C1570" t="str">
        <f>HYPERLINK("https://ois.dk/map/5444025/sfe", "Link")</f>
        <v>Link</v>
      </c>
      <c r="D1570" t="s">
        <v>2198</v>
      </c>
      <c r="E1570" s="17">
        <v>1.75</v>
      </c>
      <c r="F1570" t="s">
        <v>2199</v>
      </c>
      <c r="G1570">
        <v>0.5</v>
      </c>
      <c r="H1570">
        <v>0.25</v>
      </c>
      <c r="I1570">
        <v>1</v>
      </c>
      <c r="Q1570" s="1"/>
      <c r="R1570" s="1">
        <v>0.51</v>
      </c>
    </row>
    <row r="1571" spans="1:18" ht="15.75" customHeight="1" x14ac:dyDescent="0.25">
      <c r="A1571" s="2">
        <v>5444026</v>
      </c>
      <c r="B1571">
        <v>5444026</v>
      </c>
      <c r="C1571" t="str">
        <f>HYPERLINK("https://ois.dk/map/5444026/sfe", "Link")</f>
        <v>Link</v>
      </c>
      <c r="D1571" t="s">
        <v>2200</v>
      </c>
      <c r="E1571" s="17">
        <v>1.75</v>
      </c>
      <c r="F1571" t="s">
        <v>2201</v>
      </c>
      <c r="G1571">
        <v>0.5</v>
      </c>
      <c r="H1571">
        <v>0.25</v>
      </c>
      <c r="I1571">
        <v>1</v>
      </c>
      <c r="Q1571" s="1"/>
      <c r="R1571" s="1">
        <v>0.51</v>
      </c>
    </row>
    <row r="1572" spans="1:18" ht="15.75" customHeight="1" x14ac:dyDescent="0.25">
      <c r="A1572" s="2">
        <v>5444027</v>
      </c>
      <c r="B1572">
        <v>5444027</v>
      </c>
      <c r="C1572" t="str">
        <f>HYPERLINK("https://ois.dk/map/5444027/sfe", "Link")</f>
        <v>Link</v>
      </c>
      <c r="D1572" t="s">
        <v>2202</v>
      </c>
      <c r="E1572" s="17">
        <v>1.75</v>
      </c>
      <c r="F1572" t="s">
        <v>2203</v>
      </c>
      <c r="G1572">
        <v>0.5</v>
      </c>
      <c r="H1572">
        <v>0.25</v>
      </c>
      <c r="I1572">
        <v>1</v>
      </c>
      <c r="Q1572" s="1"/>
      <c r="R1572" s="1">
        <v>0.7</v>
      </c>
    </row>
    <row r="1573" spans="1:18" ht="15.75" customHeight="1" x14ac:dyDescent="0.25">
      <c r="A1573" s="2">
        <v>5444028</v>
      </c>
      <c r="B1573">
        <v>5444028</v>
      </c>
      <c r="C1573" t="str">
        <f>HYPERLINK("https://ois.dk/map/5444028/sfe", "Link")</f>
        <v>Link</v>
      </c>
      <c r="D1573" t="s">
        <v>2204</v>
      </c>
      <c r="E1573" s="17">
        <v>1.75</v>
      </c>
      <c r="F1573" t="s">
        <v>2205</v>
      </c>
      <c r="G1573">
        <v>0.5</v>
      </c>
      <c r="H1573">
        <v>0.25</v>
      </c>
      <c r="I1573">
        <v>1</v>
      </c>
      <c r="Q1573" s="1"/>
      <c r="R1573" s="1">
        <v>0.59</v>
      </c>
    </row>
    <row r="1574" spans="1:18" ht="15.75" customHeight="1" x14ac:dyDescent="0.25">
      <c r="A1574" s="2">
        <v>5444029</v>
      </c>
      <c r="B1574">
        <v>5444029</v>
      </c>
      <c r="C1574" t="str">
        <f>HYPERLINK("https://ois.dk/map/5444029/sfe", "Link")</f>
        <v>Link</v>
      </c>
      <c r="D1574" t="s">
        <v>2206</v>
      </c>
      <c r="E1574" s="17">
        <v>1.75</v>
      </c>
      <c r="F1574" t="s">
        <v>2207</v>
      </c>
      <c r="G1574">
        <v>0.5</v>
      </c>
      <c r="H1574">
        <v>0.25</v>
      </c>
      <c r="I1574">
        <v>1</v>
      </c>
      <c r="Q1574" s="1"/>
      <c r="R1574" s="1">
        <v>0.82</v>
      </c>
    </row>
    <row r="1575" spans="1:18" ht="15.75" customHeight="1" x14ac:dyDescent="0.25">
      <c r="A1575" s="2">
        <v>5444030</v>
      </c>
      <c r="B1575">
        <v>5444030</v>
      </c>
      <c r="C1575" t="str">
        <f>HYPERLINK("https://ois.dk/map/5444030/sfe", "Link")</f>
        <v>Link</v>
      </c>
      <c r="D1575" t="s">
        <v>2208</v>
      </c>
      <c r="E1575" s="17">
        <v>1.75</v>
      </c>
      <c r="F1575" t="s">
        <v>2209</v>
      </c>
      <c r="G1575">
        <v>0.5</v>
      </c>
      <c r="H1575">
        <v>0.25</v>
      </c>
      <c r="I1575">
        <v>1</v>
      </c>
      <c r="Q1575" s="1"/>
      <c r="R1575" s="1">
        <v>0.68</v>
      </c>
    </row>
    <row r="1576" spans="1:18" ht="15.75" customHeight="1" x14ac:dyDescent="0.25">
      <c r="A1576" s="2">
        <v>5444031</v>
      </c>
      <c r="B1576">
        <v>5444031</v>
      </c>
      <c r="C1576" t="str">
        <f>HYPERLINK("https://ois.dk/map/5444031/sfe", "Link")</f>
        <v>Link</v>
      </c>
      <c r="D1576" t="s">
        <v>2210</v>
      </c>
      <c r="E1576" s="17">
        <v>1.75</v>
      </c>
      <c r="F1576" t="s">
        <v>2211</v>
      </c>
      <c r="G1576">
        <v>0.5</v>
      </c>
      <c r="H1576">
        <v>0.25</v>
      </c>
      <c r="I1576">
        <v>1</v>
      </c>
      <c r="Q1576" s="1"/>
      <c r="R1576" s="1">
        <v>0.72</v>
      </c>
    </row>
    <row r="1577" spans="1:18" ht="15.75" customHeight="1" x14ac:dyDescent="0.25">
      <c r="A1577" s="2">
        <v>5444032</v>
      </c>
      <c r="B1577">
        <v>5444032</v>
      </c>
      <c r="C1577" t="str">
        <f>HYPERLINK("https://ois.dk/map/5444032/sfe", "Link")</f>
        <v>Link</v>
      </c>
      <c r="D1577" t="s">
        <v>2212</v>
      </c>
      <c r="E1577" s="17">
        <v>1.75</v>
      </c>
      <c r="F1577" t="s">
        <v>2213</v>
      </c>
      <c r="G1577">
        <v>0.5</v>
      </c>
      <c r="H1577">
        <v>0.25</v>
      </c>
      <c r="I1577">
        <v>1</v>
      </c>
      <c r="Q1577" s="1"/>
      <c r="R1577" s="1">
        <v>0.82</v>
      </c>
    </row>
    <row r="1578" spans="1:18" ht="15.75" customHeight="1" x14ac:dyDescent="0.25">
      <c r="A1578" s="2">
        <v>5444033</v>
      </c>
      <c r="B1578">
        <v>5444033</v>
      </c>
      <c r="C1578" t="str">
        <f>HYPERLINK("https://ois.dk/map/5444033/sfe", "Link")</f>
        <v>Link</v>
      </c>
      <c r="D1578" t="s">
        <v>2214</v>
      </c>
      <c r="E1578" s="17">
        <v>1.75</v>
      </c>
      <c r="F1578" t="s">
        <v>2215</v>
      </c>
      <c r="G1578">
        <v>0.5</v>
      </c>
      <c r="H1578">
        <v>0.25</v>
      </c>
      <c r="I1578">
        <v>1</v>
      </c>
      <c r="Q1578" s="1"/>
      <c r="R1578" s="1">
        <v>0.79</v>
      </c>
    </row>
    <row r="1579" spans="1:18" ht="15.75" customHeight="1" x14ac:dyDescent="0.25">
      <c r="A1579" s="2">
        <v>5444034</v>
      </c>
      <c r="B1579">
        <v>5444034</v>
      </c>
      <c r="C1579" t="str">
        <f>HYPERLINK("https://ois.dk/map/5444034/sfe", "Link")</f>
        <v>Link</v>
      </c>
      <c r="D1579" t="s">
        <v>2216</v>
      </c>
      <c r="E1579" s="17">
        <v>1.75</v>
      </c>
      <c r="F1579" t="s">
        <v>2217</v>
      </c>
      <c r="G1579">
        <v>0.5</v>
      </c>
      <c r="H1579">
        <v>0.25</v>
      </c>
      <c r="I1579">
        <v>1</v>
      </c>
      <c r="Q1579" s="1"/>
      <c r="R1579" s="1">
        <v>0.84</v>
      </c>
    </row>
    <row r="1580" spans="1:18" ht="15.75" customHeight="1" x14ac:dyDescent="0.25">
      <c r="A1580" s="2">
        <v>5444035</v>
      </c>
      <c r="B1580">
        <v>5444035</v>
      </c>
      <c r="C1580" t="str">
        <f>HYPERLINK("https://ois.dk/map/5444035/sfe", "Link")</f>
        <v>Link</v>
      </c>
      <c r="D1580" t="s">
        <v>2218</v>
      </c>
      <c r="E1580" s="17">
        <v>1.75</v>
      </c>
      <c r="F1580" t="s">
        <v>2219</v>
      </c>
      <c r="G1580">
        <v>0.5</v>
      </c>
      <c r="H1580">
        <v>0.25</v>
      </c>
      <c r="I1580">
        <v>1</v>
      </c>
      <c r="Q1580" s="1"/>
      <c r="R1580" s="1">
        <v>1.1200000000000001</v>
      </c>
    </row>
    <row r="1581" spans="1:18" ht="15.75" customHeight="1" x14ac:dyDescent="0.25">
      <c r="A1581" s="2">
        <v>5444036</v>
      </c>
      <c r="B1581">
        <v>5444036</v>
      </c>
      <c r="C1581" t="str">
        <f>HYPERLINK("https://ois.dk/map/5444036/sfe", "Link")</f>
        <v>Link</v>
      </c>
      <c r="D1581" t="s">
        <v>2220</v>
      </c>
      <c r="E1581" s="17">
        <v>1.75</v>
      </c>
      <c r="F1581" t="s">
        <v>2221</v>
      </c>
      <c r="G1581">
        <v>0.5</v>
      </c>
      <c r="H1581">
        <v>0.25</v>
      </c>
      <c r="I1581">
        <v>1</v>
      </c>
      <c r="Q1581" s="1"/>
      <c r="R1581" s="1">
        <v>1.51</v>
      </c>
    </row>
    <row r="1582" spans="1:18" ht="15.75" customHeight="1" x14ac:dyDescent="0.25">
      <c r="A1582" s="2">
        <v>5444037</v>
      </c>
      <c r="B1582">
        <v>5444037</v>
      </c>
      <c r="C1582" t="str">
        <f>HYPERLINK("https://ois.dk/map/5444037/sfe", "Link")</f>
        <v>Link</v>
      </c>
      <c r="D1582" t="s">
        <v>2222</v>
      </c>
      <c r="E1582" s="17">
        <v>1.75</v>
      </c>
      <c r="F1582" t="s">
        <v>2223</v>
      </c>
      <c r="G1582">
        <v>0.5</v>
      </c>
      <c r="H1582">
        <v>0.25</v>
      </c>
      <c r="I1582">
        <v>1</v>
      </c>
      <c r="Q1582" s="1"/>
      <c r="R1582" s="1">
        <v>1.8</v>
      </c>
    </row>
    <row r="1583" spans="1:18" ht="15.75" customHeight="1" x14ac:dyDescent="0.25">
      <c r="A1583" s="2">
        <v>5444038</v>
      </c>
      <c r="B1583">
        <v>5444038</v>
      </c>
      <c r="C1583" t="str">
        <f>HYPERLINK("https://ois.dk/map/5444038/sfe", "Link")</f>
        <v>Link</v>
      </c>
      <c r="D1583" t="s">
        <v>2224</v>
      </c>
      <c r="E1583" s="17">
        <v>1.75</v>
      </c>
      <c r="F1583" t="s">
        <v>2225</v>
      </c>
      <c r="G1583">
        <v>0.5</v>
      </c>
      <c r="H1583">
        <v>0.25</v>
      </c>
      <c r="I1583">
        <v>1</v>
      </c>
      <c r="Q1583" s="1"/>
      <c r="R1583" s="1">
        <v>2.17</v>
      </c>
    </row>
    <row r="1584" spans="1:18" ht="15.75" customHeight="1" x14ac:dyDescent="0.25">
      <c r="A1584" s="2">
        <v>5444039</v>
      </c>
      <c r="B1584">
        <v>5444039</v>
      </c>
      <c r="C1584" t="str">
        <f>HYPERLINK("https://ois.dk/map/5444039/sfe", "Link")</f>
        <v>Link</v>
      </c>
      <c r="D1584" t="s">
        <v>2226</v>
      </c>
      <c r="E1584" s="17">
        <v>0.75</v>
      </c>
      <c r="F1584" t="s">
        <v>2227</v>
      </c>
      <c r="G1584">
        <v>0.5</v>
      </c>
      <c r="H1584">
        <v>0.25</v>
      </c>
      <c r="Q1584" s="1"/>
      <c r="R1584" s="1"/>
    </row>
    <row r="1585" spans="1:19" ht="15.75" customHeight="1" x14ac:dyDescent="0.25">
      <c r="A1585" s="2">
        <v>5444040</v>
      </c>
      <c r="B1585">
        <v>5444040</v>
      </c>
      <c r="C1585" t="str">
        <f>HYPERLINK("https://ois.dk/map/5444040/sfe", "Link")</f>
        <v>Link</v>
      </c>
      <c r="D1585" t="s">
        <v>2228</v>
      </c>
      <c r="E1585" s="17">
        <v>0.75</v>
      </c>
      <c r="F1585" t="s">
        <v>2229</v>
      </c>
      <c r="G1585">
        <v>0.5</v>
      </c>
      <c r="H1585">
        <v>0.25</v>
      </c>
      <c r="Q1585" s="1"/>
      <c r="R1585" s="1"/>
    </row>
    <row r="1586" spans="1:19" ht="15.75" customHeight="1" x14ac:dyDescent="0.25">
      <c r="A1586" s="2">
        <v>5444041</v>
      </c>
      <c r="B1586">
        <v>5444041</v>
      </c>
      <c r="C1586" t="str">
        <f>HYPERLINK("https://ois.dk/map/5444041/sfe", "Link")</f>
        <v>Link</v>
      </c>
      <c r="D1586" t="s">
        <v>2230</v>
      </c>
      <c r="E1586" s="17">
        <v>1.75</v>
      </c>
      <c r="F1586" t="s">
        <v>2231</v>
      </c>
      <c r="G1586">
        <v>0.5</v>
      </c>
      <c r="H1586">
        <v>0.25</v>
      </c>
      <c r="I1586">
        <v>1</v>
      </c>
      <c r="Q1586" s="1"/>
      <c r="R1586" s="1">
        <v>1.97</v>
      </c>
    </row>
    <row r="1587" spans="1:19" ht="15.75" customHeight="1" x14ac:dyDescent="0.25">
      <c r="A1587" s="2">
        <v>5444042</v>
      </c>
      <c r="B1587">
        <v>5444042</v>
      </c>
      <c r="C1587" t="str">
        <f>HYPERLINK("https://ois.dk/map/5444042/sfe", "Link")</f>
        <v>Link</v>
      </c>
      <c r="D1587" t="s">
        <v>2232</v>
      </c>
      <c r="E1587" s="17">
        <v>1.75</v>
      </c>
      <c r="F1587" t="s">
        <v>2233</v>
      </c>
      <c r="G1587">
        <v>0.5</v>
      </c>
      <c r="H1587">
        <v>0.25</v>
      </c>
      <c r="I1587">
        <v>1</v>
      </c>
      <c r="Q1587" s="1"/>
      <c r="R1587" s="1">
        <v>1.78</v>
      </c>
    </row>
    <row r="1588" spans="1:19" ht="15.75" customHeight="1" x14ac:dyDescent="0.25">
      <c r="A1588" s="2">
        <v>5444043</v>
      </c>
      <c r="B1588">
        <v>5444043</v>
      </c>
      <c r="C1588" t="str">
        <f>HYPERLINK("https://ois.dk/map/5444043/sfe", "Link")</f>
        <v>Link</v>
      </c>
      <c r="D1588" t="s">
        <v>2234</v>
      </c>
      <c r="E1588" s="17">
        <v>1.75</v>
      </c>
      <c r="F1588" t="s">
        <v>2235</v>
      </c>
      <c r="G1588">
        <v>0.5</v>
      </c>
      <c r="H1588">
        <v>0.25</v>
      </c>
      <c r="I1588">
        <v>1</v>
      </c>
      <c r="Q1588" s="1"/>
      <c r="R1588" s="1">
        <v>1.82</v>
      </c>
    </row>
    <row r="1589" spans="1:19" ht="15.75" customHeight="1" x14ac:dyDescent="0.25">
      <c r="A1589" s="2">
        <v>5444044</v>
      </c>
      <c r="B1589">
        <v>5444044</v>
      </c>
      <c r="C1589" t="str">
        <f>HYPERLINK("https://ois.dk/map/5444044/sfe", "Link")</f>
        <v>Link</v>
      </c>
      <c r="D1589" t="s">
        <v>2236</v>
      </c>
      <c r="E1589" s="17">
        <v>1.75</v>
      </c>
      <c r="F1589" t="s">
        <v>2237</v>
      </c>
      <c r="G1589">
        <v>0.5</v>
      </c>
      <c r="H1589">
        <v>0.25</v>
      </c>
      <c r="I1589">
        <v>1</v>
      </c>
      <c r="Q1589" s="1"/>
      <c r="R1589" s="1">
        <v>0.88</v>
      </c>
    </row>
    <row r="1590" spans="1:19" ht="15.75" customHeight="1" x14ac:dyDescent="0.25">
      <c r="A1590" s="2">
        <v>5444045</v>
      </c>
      <c r="B1590">
        <v>5444045</v>
      </c>
      <c r="C1590" t="str">
        <f>HYPERLINK("https://ois.dk/map/5444045/sfe", "Link")</f>
        <v>Link</v>
      </c>
      <c r="D1590" t="s">
        <v>2238</v>
      </c>
      <c r="E1590" s="17">
        <v>1.75</v>
      </c>
      <c r="F1590" t="s">
        <v>2239</v>
      </c>
      <c r="G1590">
        <v>0.5</v>
      </c>
      <c r="H1590">
        <v>0.25</v>
      </c>
      <c r="I1590">
        <v>1</v>
      </c>
      <c r="Q1590" s="1"/>
      <c r="R1590" s="1">
        <v>0.83</v>
      </c>
    </row>
    <row r="1591" spans="1:19" ht="15.75" customHeight="1" x14ac:dyDescent="0.25">
      <c r="A1591" s="2">
        <v>5444046</v>
      </c>
      <c r="B1591">
        <v>5444046</v>
      </c>
      <c r="C1591" t="str">
        <f>HYPERLINK("https://ois.dk/map/5444046/sfe", "Link")</f>
        <v>Link</v>
      </c>
      <c r="D1591" t="s">
        <v>2240</v>
      </c>
      <c r="E1591" s="17">
        <v>1.75</v>
      </c>
      <c r="F1591" t="s">
        <v>2241</v>
      </c>
      <c r="G1591">
        <v>0.5</v>
      </c>
      <c r="H1591">
        <v>0.25</v>
      </c>
      <c r="I1591">
        <v>1</v>
      </c>
      <c r="Q1591" s="1"/>
      <c r="R1591" s="1">
        <v>1.32</v>
      </c>
    </row>
    <row r="1592" spans="1:19" ht="15.75" customHeight="1" x14ac:dyDescent="0.25">
      <c r="A1592" s="2">
        <v>5444047</v>
      </c>
      <c r="B1592">
        <v>5444047</v>
      </c>
      <c r="C1592" t="str">
        <f>HYPERLINK("https://ois.dk/map/5444047/sfe", "Link")</f>
        <v>Link</v>
      </c>
      <c r="D1592" t="s">
        <v>2242</v>
      </c>
      <c r="E1592" s="17">
        <v>1.75</v>
      </c>
      <c r="F1592" t="s">
        <v>2243</v>
      </c>
      <c r="G1592">
        <v>0.5</v>
      </c>
      <c r="H1592">
        <v>0.25</v>
      </c>
      <c r="I1592">
        <v>1</v>
      </c>
      <c r="Q1592" s="1"/>
      <c r="R1592" s="1">
        <v>2.04</v>
      </c>
    </row>
    <row r="1593" spans="1:19" ht="15.75" customHeight="1" x14ac:dyDescent="0.25">
      <c r="A1593" s="2">
        <v>5444048</v>
      </c>
      <c r="B1593">
        <v>5444048</v>
      </c>
      <c r="C1593" t="str">
        <f>HYPERLINK("https://ois.dk/map/5444048/sfe", "Link")</f>
        <v>Link</v>
      </c>
      <c r="D1593" t="s">
        <v>2244</v>
      </c>
      <c r="E1593" s="17">
        <v>1.75</v>
      </c>
      <c r="F1593" t="s">
        <v>2245</v>
      </c>
      <c r="G1593">
        <v>0.5</v>
      </c>
      <c r="H1593">
        <v>0.25</v>
      </c>
      <c r="I1593">
        <v>1</v>
      </c>
      <c r="Q1593" s="1"/>
      <c r="R1593" s="1">
        <v>1.27</v>
      </c>
    </row>
    <row r="1594" spans="1:19" ht="15.75" customHeight="1" x14ac:dyDescent="0.25">
      <c r="A1594" s="2">
        <v>5444049</v>
      </c>
      <c r="B1594">
        <v>5444049</v>
      </c>
      <c r="C1594" t="str">
        <f>HYPERLINK("https://ois.dk/map/5444049/sfe", "Link")</f>
        <v>Link</v>
      </c>
      <c r="D1594" t="s">
        <v>2246</v>
      </c>
      <c r="E1594" s="17">
        <v>1.75</v>
      </c>
      <c r="F1594" t="s">
        <v>2247</v>
      </c>
      <c r="G1594">
        <v>0.5</v>
      </c>
      <c r="H1594">
        <v>0.25</v>
      </c>
      <c r="I1594">
        <v>1</v>
      </c>
      <c r="Q1594" s="1"/>
      <c r="R1594" s="1">
        <v>1.05</v>
      </c>
    </row>
    <row r="1595" spans="1:19" ht="15.75" customHeight="1" x14ac:dyDescent="0.25">
      <c r="A1595" s="2">
        <v>5444050</v>
      </c>
      <c r="B1595">
        <v>5444050</v>
      </c>
      <c r="C1595" t="str">
        <f>HYPERLINK("https://ois.dk/map/5444050/sfe", "Link")</f>
        <v>Link</v>
      </c>
      <c r="D1595" t="s">
        <v>2248</v>
      </c>
      <c r="E1595" s="17">
        <v>1.75</v>
      </c>
      <c r="F1595" t="s">
        <v>2249</v>
      </c>
      <c r="G1595">
        <v>0.5</v>
      </c>
      <c r="H1595">
        <v>0.25</v>
      </c>
      <c r="I1595">
        <v>1</v>
      </c>
      <c r="Q1595" s="1"/>
      <c r="R1595" s="1">
        <v>1.1000000000000001</v>
      </c>
    </row>
    <row r="1596" spans="1:19" ht="15.75" customHeight="1" x14ac:dyDescent="0.25">
      <c r="A1596" s="2">
        <v>5444065</v>
      </c>
      <c r="B1596">
        <v>5444065</v>
      </c>
      <c r="C1596" t="str">
        <f>HYPERLINK("https://ois.dk/map/5444065/sfe", "Link")</f>
        <v>Link</v>
      </c>
      <c r="D1596" t="s">
        <v>373</v>
      </c>
      <c r="E1596" s="17">
        <v>0.5</v>
      </c>
      <c r="G1596">
        <v>0.5</v>
      </c>
      <c r="Q1596" s="1"/>
      <c r="R1596" s="1"/>
    </row>
    <row r="1597" spans="1:19" ht="15.75" customHeight="1" x14ac:dyDescent="0.25">
      <c r="A1597" s="2">
        <v>5444066</v>
      </c>
      <c r="B1597">
        <v>5444066</v>
      </c>
      <c r="C1597" t="str">
        <f>HYPERLINK("https://ois.dk/map/5444066/sfe", "Link")</f>
        <v>Link</v>
      </c>
      <c r="D1597" t="s">
        <v>2250</v>
      </c>
      <c r="E1597" s="17">
        <v>0.5</v>
      </c>
      <c r="G1597">
        <v>0.5</v>
      </c>
      <c r="Q1597" s="1"/>
      <c r="R1597" s="1"/>
    </row>
    <row r="1598" spans="1:19" ht="15.75" customHeight="1" x14ac:dyDescent="0.25">
      <c r="A1598" s="2">
        <v>5444067</v>
      </c>
      <c r="B1598">
        <v>5444067</v>
      </c>
      <c r="C1598" t="str">
        <f>HYPERLINK("https://ois.dk/map/5444067/sfe", "Link")</f>
        <v>Link</v>
      </c>
      <c r="D1598" t="s">
        <v>2251</v>
      </c>
      <c r="E1598" s="17">
        <v>3.6560000000000001</v>
      </c>
      <c r="F1598" t="s">
        <v>2252</v>
      </c>
      <c r="G1598">
        <v>0.5</v>
      </c>
      <c r="M1598">
        <v>3.1560000000000001</v>
      </c>
      <c r="Q1598" s="1"/>
      <c r="R1598" s="1"/>
    </row>
    <row r="1599" spans="1:19" ht="15.75" customHeight="1" x14ac:dyDescent="0.25">
      <c r="A1599" s="2">
        <v>5444077</v>
      </c>
      <c r="B1599">
        <v>5444077</v>
      </c>
      <c r="C1599" t="str">
        <f>HYPERLINK("https://ois.dk/map/5444077/sfe", "Link")</f>
        <v>Link</v>
      </c>
      <c r="D1599" t="s">
        <v>2253</v>
      </c>
      <c r="E1599" s="17">
        <v>2.0499999999999998</v>
      </c>
      <c r="F1599" t="s">
        <v>2254</v>
      </c>
      <c r="G1599">
        <v>0.5</v>
      </c>
      <c r="H1599">
        <v>0.25</v>
      </c>
      <c r="I1599">
        <v>1</v>
      </c>
      <c r="J1599">
        <v>0.3</v>
      </c>
      <c r="Q1599" s="1"/>
      <c r="R1599" s="1">
        <v>1.33</v>
      </c>
      <c r="S1599">
        <v>1.1599999999999999</v>
      </c>
    </row>
    <row r="1600" spans="1:19" ht="15.75" customHeight="1" x14ac:dyDescent="0.25">
      <c r="A1600" s="2">
        <v>5444078</v>
      </c>
      <c r="B1600">
        <v>5444078</v>
      </c>
      <c r="C1600" t="str">
        <f>HYPERLINK("https://ois.dk/map/5444078/sfe", "Link")</f>
        <v>Link</v>
      </c>
      <c r="D1600" t="s">
        <v>2255</v>
      </c>
      <c r="E1600" s="17">
        <v>2.0499999999999998</v>
      </c>
      <c r="F1600" t="s">
        <v>2256</v>
      </c>
      <c r="G1600">
        <v>0.5</v>
      </c>
      <c r="H1600">
        <v>0.25</v>
      </c>
      <c r="I1600">
        <v>1</v>
      </c>
      <c r="J1600">
        <v>0.3</v>
      </c>
      <c r="Q1600" s="1"/>
      <c r="R1600" s="1">
        <v>1.41</v>
      </c>
      <c r="S1600">
        <v>1.17</v>
      </c>
    </row>
    <row r="1601" spans="1:19" ht="15.75" customHeight="1" x14ac:dyDescent="0.25">
      <c r="A1601" s="2">
        <v>5444079</v>
      </c>
      <c r="B1601">
        <v>5444079</v>
      </c>
      <c r="C1601" t="str">
        <f>HYPERLINK("https://ois.dk/map/5444079/sfe", "Link")</f>
        <v>Link</v>
      </c>
      <c r="D1601" t="s">
        <v>2257</v>
      </c>
      <c r="E1601" s="17">
        <v>1.75</v>
      </c>
      <c r="F1601" t="s">
        <v>2258</v>
      </c>
      <c r="G1601">
        <v>0.5</v>
      </c>
      <c r="H1601">
        <v>0.25</v>
      </c>
      <c r="I1601">
        <v>1</v>
      </c>
      <c r="Q1601" s="1"/>
      <c r="R1601" s="1">
        <v>1.1200000000000001</v>
      </c>
    </row>
    <row r="1602" spans="1:19" ht="15.75" customHeight="1" x14ac:dyDescent="0.25">
      <c r="A1602" s="2">
        <v>5444080</v>
      </c>
      <c r="B1602">
        <v>5444080</v>
      </c>
      <c r="C1602" t="str">
        <f>HYPERLINK("https://ois.dk/map/5444080/sfe", "Link")</f>
        <v>Link</v>
      </c>
      <c r="D1602" t="s">
        <v>2259</v>
      </c>
      <c r="E1602" s="17">
        <v>1.75</v>
      </c>
      <c r="F1602" t="s">
        <v>2260</v>
      </c>
      <c r="G1602">
        <v>0.5</v>
      </c>
      <c r="H1602">
        <v>0.25</v>
      </c>
      <c r="I1602">
        <v>1</v>
      </c>
      <c r="Q1602" s="1"/>
      <c r="R1602" s="1">
        <v>1.05</v>
      </c>
    </row>
    <row r="1603" spans="1:19" ht="15.75" customHeight="1" x14ac:dyDescent="0.25">
      <c r="A1603" s="2">
        <v>5444081</v>
      </c>
      <c r="B1603">
        <v>5444081</v>
      </c>
      <c r="C1603" t="str">
        <f>HYPERLINK("https://ois.dk/map/5444081/sfe", "Link")</f>
        <v>Link</v>
      </c>
      <c r="D1603" t="s">
        <v>2261</v>
      </c>
      <c r="E1603" s="17">
        <v>1.75</v>
      </c>
      <c r="F1603" t="s">
        <v>2262</v>
      </c>
      <c r="G1603">
        <v>0.5</v>
      </c>
      <c r="H1603">
        <v>0.25</v>
      </c>
      <c r="I1603">
        <v>1</v>
      </c>
      <c r="Q1603" s="1"/>
      <c r="R1603" s="1">
        <v>0.72</v>
      </c>
    </row>
    <row r="1604" spans="1:19" ht="15.75" customHeight="1" x14ac:dyDescent="0.25">
      <c r="A1604" s="2">
        <v>5444082</v>
      </c>
      <c r="B1604">
        <v>5444082</v>
      </c>
      <c r="C1604" t="str">
        <f>HYPERLINK("https://ois.dk/map/5444082/sfe", "Link")</f>
        <v>Link</v>
      </c>
      <c r="D1604" t="s">
        <v>2263</v>
      </c>
      <c r="E1604" s="17">
        <v>1.75</v>
      </c>
      <c r="F1604" t="s">
        <v>2264</v>
      </c>
      <c r="G1604">
        <v>0.5</v>
      </c>
      <c r="H1604">
        <v>0.25</v>
      </c>
      <c r="I1604">
        <v>1</v>
      </c>
      <c r="Q1604" s="1"/>
      <c r="R1604" s="1">
        <v>0.74</v>
      </c>
    </row>
    <row r="1605" spans="1:19" ht="15.75" customHeight="1" x14ac:dyDescent="0.25">
      <c r="A1605" s="2">
        <v>5444083</v>
      </c>
      <c r="B1605">
        <v>5444083</v>
      </c>
      <c r="C1605" t="str">
        <f>HYPERLINK("https://ois.dk/map/5444083/sfe", "Link")</f>
        <v>Link</v>
      </c>
      <c r="D1605" t="s">
        <v>2265</v>
      </c>
      <c r="E1605" s="17">
        <v>1.75</v>
      </c>
      <c r="F1605" t="s">
        <v>2266</v>
      </c>
      <c r="G1605">
        <v>0.5</v>
      </c>
      <c r="H1605">
        <v>0.25</v>
      </c>
      <c r="I1605">
        <v>1</v>
      </c>
      <c r="Q1605" s="1"/>
      <c r="R1605" s="1">
        <v>0.73</v>
      </c>
    </row>
    <row r="1606" spans="1:19" ht="15.75" customHeight="1" x14ac:dyDescent="0.25">
      <c r="A1606" s="2">
        <v>5444084</v>
      </c>
      <c r="B1606">
        <v>5444084</v>
      </c>
      <c r="C1606" t="str">
        <f>HYPERLINK("https://ois.dk/map/5444084/sfe", "Link")</f>
        <v>Link</v>
      </c>
      <c r="D1606" t="s">
        <v>2267</v>
      </c>
      <c r="E1606" s="17">
        <v>1.75</v>
      </c>
      <c r="F1606" t="s">
        <v>2268</v>
      </c>
      <c r="G1606">
        <v>0.5</v>
      </c>
      <c r="H1606">
        <v>0.25</v>
      </c>
      <c r="I1606">
        <v>1</v>
      </c>
      <c r="Q1606" s="1"/>
      <c r="R1606" s="1">
        <v>0.75</v>
      </c>
    </row>
    <row r="1607" spans="1:19" ht="15.75" customHeight="1" x14ac:dyDescent="0.25">
      <c r="A1607" s="2">
        <v>5444085</v>
      </c>
      <c r="B1607">
        <v>5444085</v>
      </c>
      <c r="C1607" t="str">
        <f>HYPERLINK("https://ois.dk/map/5444085/sfe", "Link")</f>
        <v>Link</v>
      </c>
      <c r="D1607" t="s">
        <v>2269</v>
      </c>
      <c r="E1607" s="17">
        <v>1.75</v>
      </c>
      <c r="F1607" t="s">
        <v>2270</v>
      </c>
      <c r="G1607">
        <v>0.5</v>
      </c>
      <c r="H1607">
        <v>0.25</v>
      </c>
      <c r="I1607">
        <v>1</v>
      </c>
      <c r="Q1607" s="1"/>
      <c r="R1607" s="1">
        <v>0.8</v>
      </c>
    </row>
    <row r="1608" spans="1:19" ht="15.75" customHeight="1" x14ac:dyDescent="0.25">
      <c r="A1608" s="2">
        <v>5444086</v>
      </c>
      <c r="B1608">
        <v>5444086</v>
      </c>
      <c r="C1608" t="str">
        <f>HYPERLINK("https://ois.dk/map/5444086/sfe", "Link")</f>
        <v>Link</v>
      </c>
      <c r="D1608" t="s">
        <v>2271</v>
      </c>
      <c r="E1608" s="17">
        <v>1.75</v>
      </c>
      <c r="F1608" t="s">
        <v>2272</v>
      </c>
      <c r="G1608">
        <v>0.5</v>
      </c>
      <c r="H1608">
        <v>0.25</v>
      </c>
      <c r="I1608">
        <v>1</v>
      </c>
      <c r="Q1608" s="1"/>
      <c r="R1608" s="1">
        <v>0.97</v>
      </c>
    </row>
    <row r="1609" spans="1:19" ht="15.75" customHeight="1" x14ac:dyDescent="0.25">
      <c r="A1609" s="2">
        <v>5444087</v>
      </c>
      <c r="B1609">
        <v>5444087</v>
      </c>
      <c r="C1609" t="str">
        <f>HYPERLINK("https://ois.dk/map/5444087/sfe", "Link")</f>
        <v>Link</v>
      </c>
      <c r="D1609" t="s">
        <v>2273</v>
      </c>
      <c r="E1609" s="17">
        <v>1.75</v>
      </c>
      <c r="F1609" t="s">
        <v>2274</v>
      </c>
      <c r="G1609">
        <v>0.5</v>
      </c>
      <c r="H1609">
        <v>0.25</v>
      </c>
      <c r="I1609">
        <v>1</v>
      </c>
      <c r="Q1609" s="1"/>
      <c r="R1609" s="1">
        <v>1.07</v>
      </c>
    </row>
    <row r="1610" spans="1:19" ht="15.75" customHeight="1" x14ac:dyDescent="0.25">
      <c r="A1610" s="2">
        <v>5444088</v>
      </c>
      <c r="B1610">
        <v>5444088</v>
      </c>
      <c r="C1610" t="str">
        <f>HYPERLINK("https://ois.dk/map/5444088/sfe", "Link")</f>
        <v>Link</v>
      </c>
      <c r="D1610" t="s">
        <v>2275</v>
      </c>
      <c r="E1610" s="17">
        <v>2.0499999999999998</v>
      </c>
      <c r="F1610" t="s">
        <v>2276</v>
      </c>
      <c r="G1610">
        <v>0.5</v>
      </c>
      <c r="H1610">
        <v>0.25</v>
      </c>
      <c r="I1610">
        <v>1</v>
      </c>
      <c r="J1610">
        <v>0.3</v>
      </c>
      <c r="Q1610" s="1"/>
      <c r="R1610" s="1">
        <v>1.1299999999999999</v>
      </c>
      <c r="S1610">
        <v>0.67</v>
      </c>
    </row>
    <row r="1611" spans="1:19" ht="15.75" customHeight="1" x14ac:dyDescent="0.25">
      <c r="A1611" s="2">
        <v>5444089</v>
      </c>
      <c r="B1611">
        <v>5444089</v>
      </c>
      <c r="C1611" t="str">
        <f>HYPERLINK("https://ois.dk/map/5444089/sfe", "Link")</f>
        <v>Link</v>
      </c>
      <c r="D1611" t="s">
        <v>2277</v>
      </c>
      <c r="E1611" s="17">
        <v>1.75</v>
      </c>
      <c r="F1611" t="s">
        <v>2278</v>
      </c>
      <c r="G1611">
        <v>0.5</v>
      </c>
      <c r="H1611">
        <v>0.25</v>
      </c>
      <c r="I1611">
        <v>1</v>
      </c>
      <c r="Q1611" s="1"/>
      <c r="R1611" s="1">
        <v>1.17</v>
      </c>
    </row>
    <row r="1612" spans="1:19" ht="15.75" customHeight="1" x14ac:dyDescent="0.25">
      <c r="A1612" s="2">
        <v>5444090</v>
      </c>
      <c r="B1612">
        <v>5444090</v>
      </c>
      <c r="C1612" t="str">
        <f>HYPERLINK("https://ois.dk/map/5444090/sfe", "Link")</f>
        <v>Link</v>
      </c>
      <c r="D1612" t="s">
        <v>2279</v>
      </c>
      <c r="E1612" s="17">
        <v>1.75</v>
      </c>
      <c r="F1612" t="s">
        <v>2280</v>
      </c>
      <c r="G1612">
        <v>0.5</v>
      </c>
      <c r="H1612">
        <v>0.25</v>
      </c>
      <c r="I1612">
        <v>1</v>
      </c>
      <c r="Q1612" s="1"/>
      <c r="R1612" s="1">
        <v>1.32</v>
      </c>
    </row>
    <row r="1613" spans="1:19" ht="15.75" customHeight="1" x14ac:dyDescent="0.25">
      <c r="A1613" s="2">
        <v>5444091</v>
      </c>
      <c r="B1613">
        <v>5444091</v>
      </c>
      <c r="C1613" t="str">
        <f>HYPERLINK("https://ois.dk/map/5444091/sfe", "Link")</f>
        <v>Link</v>
      </c>
      <c r="D1613" t="s">
        <v>2281</v>
      </c>
      <c r="E1613" s="17">
        <v>1.75</v>
      </c>
      <c r="F1613" t="s">
        <v>2282</v>
      </c>
      <c r="G1613">
        <v>0.5</v>
      </c>
      <c r="H1613">
        <v>0.25</v>
      </c>
      <c r="I1613">
        <v>1</v>
      </c>
      <c r="Q1613" s="1"/>
      <c r="R1613" s="1">
        <v>1.34</v>
      </c>
    </row>
    <row r="1614" spans="1:19" ht="15.75" customHeight="1" x14ac:dyDescent="0.25">
      <c r="A1614" s="2">
        <v>5444092</v>
      </c>
      <c r="B1614">
        <v>5444092</v>
      </c>
      <c r="C1614" t="str">
        <f>HYPERLINK("https://ois.dk/map/5444092/sfe", "Link")</f>
        <v>Link</v>
      </c>
      <c r="D1614" t="s">
        <v>2283</v>
      </c>
      <c r="E1614" s="17">
        <v>1.75</v>
      </c>
      <c r="F1614" t="s">
        <v>2284</v>
      </c>
      <c r="G1614">
        <v>0.5</v>
      </c>
      <c r="H1614">
        <v>0.25</v>
      </c>
      <c r="I1614">
        <v>1</v>
      </c>
      <c r="Q1614" s="1"/>
      <c r="R1614" s="1">
        <v>1.47</v>
      </c>
    </row>
    <row r="1615" spans="1:19" ht="15.75" customHeight="1" x14ac:dyDescent="0.25">
      <c r="A1615" s="2">
        <v>5444093</v>
      </c>
      <c r="B1615">
        <v>5444093</v>
      </c>
      <c r="C1615" t="str">
        <f>HYPERLINK("https://ois.dk/map/5444093/sfe", "Link")</f>
        <v>Link</v>
      </c>
      <c r="D1615" t="s">
        <v>2285</v>
      </c>
      <c r="E1615" s="17">
        <v>1.75</v>
      </c>
      <c r="F1615" t="s">
        <v>2286</v>
      </c>
      <c r="G1615">
        <v>0.5</v>
      </c>
      <c r="H1615">
        <v>0.25</v>
      </c>
      <c r="I1615">
        <v>1</v>
      </c>
      <c r="Q1615" s="1"/>
      <c r="R1615" s="1">
        <v>1.22</v>
      </c>
    </row>
    <row r="1616" spans="1:19" ht="15.75" customHeight="1" x14ac:dyDescent="0.25">
      <c r="A1616" s="2">
        <v>5444094</v>
      </c>
      <c r="B1616">
        <v>5444094</v>
      </c>
      <c r="C1616" t="str">
        <f>HYPERLINK("https://ois.dk/map/5444094/sfe", "Link")</f>
        <v>Link</v>
      </c>
      <c r="D1616" t="s">
        <v>2287</v>
      </c>
      <c r="E1616" s="17">
        <v>1.75</v>
      </c>
      <c r="F1616" t="s">
        <v>2288</v>
      </c>
      <c r="G1616">
        <v>0.5</v>
      </c>
      <c r="H1616">
        <v>0.25</v>
      </c>
      <c r="I1616">
        <v>1</v>
      </c>
      <c r="Q1616" s="1"/>
      <c r="R1616" s="1">
        <v>1.23</v>
      </c>
    </row>
    <row r="1617" spans="1:19" ht="15.75" customHeight="1" x14ac:dyDescent="0.25">
      <c r="A1617" s="2">
        <v>5444095</v>
      </c>
      <c r="B1617">
        <v>5444095</v>
      </c>
      <c r="C1617" t="str">
        <f>HYPERLINK("https://ois.dk/map/5444095/sfe", "Link")</f>
        <v>Link</v>
      </c>
      <c r="D1617" t="s">
        <v>2289</v>
      </c>
      <c r="E1617" s="17">
        <v>1.75</v>
      </c>
      <c r="F1617" t="s">
        <v>2290</v>
      </c>
      <c r="G1617">
        <v>0.5</v>
      </c>
      <c r="H1617">
        <v>0.25</v>
      </c>
      <c r="I1617">
        <v>1</v>
      </c>
      <c r="Q1617" s="1"/>
      <c r="R1617" s="1">
        <v>1.1299999999999999</v>
      </c>
    </row>
    <row r="1618" spans="1:19" ht="15.75" customHeight="1" x14ac:dyDescent="0.25">
      <c r="A1618" s="2">
        <v>5444096</v>
      </c>
      <c r="B1618">
        <v>5444096</v>
      </c>
      <c r="C1618" t="str">
        <f>HYPERLINK("https://ois.dk/map/5444096/sfe", "Link")</f>
        <v>Link</v>
      </c>
      <c r="D1618" t="s">
        <v>2291</v>
      </c>
      <c r="E1618" s="17">
        <v>1.75</v>
      </c>
      <c r="F1618" t="s">
        <v>2292</v>
      </c>
      <c r="G1618">
        <v>0.5</v>
      </c>
      <c r="H1618">
        <v>0.25</v>
      </c>
      <c r="I1618">
        <v>1</v>
      </c>
      <c r="Q1618" s="1"/>
      <c r="R1618" s="1">
        <v>1.03</v>
      </c>
    </row>
    <row r="1619" spans="1:19" ht="15.75" customHeight="1" x14ac:dyDescent="0.25">
      <c r="A1619" s="2">
        <v>5444097</v>
      </c>
      <c r="B1619">
        <v>5444097</v>
      </c>
      <c r="C1619" t="str">
        <f>HYPERLINK("https://ois.dk/map/5444097/sfe", "Link")</f>
        <v>Link</v>
      </c>
      <c r="D1619" t="s">
        <v>2293</v>
      </c>
      <c r="E1619" s="17">
        <v>1.75</v>
      </c>
      <c r="F1619" t="s">
        <v>2294</v>
      </c>
      <c r="G1619">
        <v>0.5</v>
      </c>
      <c r="H1619">
        <v>0.25</v>
      </c>
      <c r="I1619">
        <v>1</v>
      </c>
      <c r="Q1619" s="1"/>
      <c r="R1619" s="1">
        <v>1.04</v>
      </c>
    </row>
    <row r="1620" spans="1:19" ht="15.75" customHeight="1" x14ac:dyDescent="0.25">
      <c r="A1620" s="2">
        <v>5444098</v>
      </c>
      <c r="B1620">
        <v>5444098</v>
      </c>
      <c r="C1620" t="str">
        <f>HYPERLINK("https://ois.dk/map/5444098/sfe", "Link")</f>
        <v>Link</v>
      </c>
      <c r="D1620" t="s">
        <v>2295</v>
      </c>
      <c r="E1620" s="17">
        <v>2.0499999999999998</v>
      </c>
      <c r="F1620" t="s">
        <v>2296</v>
      </c>
      <c r="G1620">
        <v>0.5</v>
      </c>
      <c r="H1620">
        <v>0.25</v>
      </c>
      <c r="I1620">
        <v>1</v>
      </c>
      <c r="J1620">
        <v>0.3</v>
      </c>
      <c r="Q1620" s="1"/>
      <c r="R1620" s="1">
        <v>1.4</v>
      </c>
      <c r="S1620">
        <v>0.74</v>
      </c>
    </row>
    <row r="1621" spans="1:19" ht="15.75" customHeight="1" x14ac:dyDescent="0.25">
      <c r="A1621" s="2">
        <v>5444099</v>
      </c>
      <c r="B1621">
        <v>5444099</v>
      </c>
      <c r="C1621" t="str">
        <f>HYPERLINK("https://ois.dk/map/5444099/sfe", "Link")</f>
        <v>Link</v>
      </c>
      <c r="D1621" t="s">
        <v>2297</v>
      </c>
      <c r="E1621" s="17">
        <v>1.75</v>
      </c>
      <c r="F1621" t="s">
        <v>2298</v>
      </c>
      <c r="G1621">
        <v>0.5</v>
      </c>
      <c r="H1621">
        <v>0.25</v>
      </c>
      <c r="I1621">
        <v>1</v>
      </c>
      <c r="Q1621" s="1"/>
      <c r="R1621" s="1">
        <v>1.29</v>
      </c>
    </row>
    <row r="1622" spans="1:19" ht="15.75" customHeight="1" x14ac:dyDescent="0.25">
      <c r="A1622" s="2">
        <v>5444101</v>
      </c>
      <c r="B1622">
        <v>5444101</v>
      </c>
      <c r="C1622" t="str">
        <f>HYPERLINK("https://ois.dk/map/5444101/sfe", "Link")</f>
        <v>Link</v>
      </c>
      <c r="D1622" t="s">
        <v>2299</v>
      </c>
      <c r="E1622" s="17">
        <v>1.75</v>
      </c>
      <c r="F1622" t="s">
        <v>2300</v>
      </c>
      <c r="G1622">
        <v>0.5</v>
      </c>
      <c r="H1622">
        <v>0.25</v>
      </c>
      <c r="I1622">
        <v>1</v>
      </c>
      <c r="Q1622" s="1"/>
      <c r="R1622" s="1">
        <v>1.41</v>
      </c>
    </row>
    <row r="1623" spans="1:19" ht="15.75" customHeight="1" x14ac:dyDescent="0.25">
      <c r="A1623" s="2">
        <v>5444102</v>
      </c>
      <c r="B1623">
        <v>5444102</v>
      </c>
      <c r="C1623" t="str">
        <f>HYPERLINK("https://ois.dk/map/5444102/sfe", "Link")</f>
        <v>Link</v>
      </c>
      <c r="D1623" t="s">
        <v>2301</v>
      </c>
      <c r="E1623" s="17">
        <v>1.75</v>
      </c>
      <c r="F1623" t="s">
        <v>2302</v>
      </c>
      <c r="G1623">
        <v>0.5</v>
      </c>
      <c r="H1623">
        <v>0.25</v>
      </c>
      <c r="I1623">
        <v>1</v>
      </c>
      <c r="Q1623" s="1"/>
      <c r="R1623" s="1">
        <v>1.38</v>
      </c>
    </row>
    <row r="1624" spans="1:19" ht="15.75" customHeight="1" x14ac:dyDescent="0.25">
      <c r="A1624" s="2">
        <v>5444103</v>
      </c>
      <c r="B1624">
        <v>5444103</v>
      </c>
      <c r="C1624" t="str">
        <f>HYPERLINK("https://ois.dk/map/5444103/sfe", "Link")</f>
        <v>Link</v>
      </c>
      <c r="D1624" t="s">
        <v>2303</v>
      </c>
      <c r="E1624" s="17">
        <v>1.75</v>
      </c>
      <c r="F1624" t="s">
        <v>2304</v>
      </c>
      <c r="G1624">
        <v>0.5</v>
      </c>
      <c r="H1624">
        <v>0.25</v>
      </c>
      <c r="I1624">
        <v>1</v>
      </c>
      <c r="Q1624" s="1"/>
      <c r="R1624" s="1">
        <v>1.47</v>
      </c>
    </row>
    <row r="1625" spans="1:19" ht="15.75" customHeight="1" x14ac:dyDescent="0.25">
      <c r="A1625" s="2">
        <v>5444105</v>
      </c>
      <c r="B1625">
        <v>5444105</v>
      </c>
      <c r="C1625" t="str">
        <f>HYPERLINK("https://ois.dk/map/5444105/sfe", "Link")</f>
        <v>Link</v>
      </c>
      <c r="D1625" t="s">
        <v>2305</v>
      </c>
      <c r="E1625" s="17">
        <v>1.75</v>
      </c>
      <c r="F1625" t="s">
        <v>2306</v>
      </c>
      <c r="G1625">
        <v>0.5</v>
      </c>
      <c r="H1625">
        <v>0.25</v>
      </c>
      <c r="I1625">
        <v>1</v>
      </c>
      <c r="Q1625" s="1"/>
      <c r="R1625" s="1">
        <v>1.37</v>
      </c>
    </row>
    <row r="1626" spans="1:19" ht="15.75" customHeight="1" x14ac:dyDescent="0.25">
      <c r="A1626" s="2">
        <v>5444107</v>
      </c>
      <c r="B1626">
        <v>5444107</v>
      </c>
      <c r="C1626" t="str">
        <f>HYPERLINK("https://ois.dk/map/5444107/sfe", "Link")</f>
        <v>Link</v>
      </c>
      <c r="D1626" t="s">
        <v>2307</v>
      </c>
      <c r="E1626" s="17">
        <v>0.75</v>
      </c>
      <c r="F1626" t="s">
        <v>2308</v>
      </c>
      <c r="G1626">
        <v>0.5</v>
      </c>
      <c r="H1626">
        <v>0.25</v>
      </c>
      <c r="Q1626" s="1"/>
      <c r="R1626" s="1"/>
    </row>
    <row r="1627" spans="1:19" ht="15.75" customHeight="1" x14ac:dyDescent="0.25">
      <c r="A1627" s="2">
        <v>5444109</v>
      </c>
      <c r="B1627">
        <v>5444109</v>
      </c>
      <c r="C1627" t="str">
        <f>HYPERLINK("https://ois.dk/map/5444109/sfe", "Link")</f>
        <v>Link</v>
      </c>
      <c r="D1627" t="s">
        <v>2309</v>
      </c>
      <c r="E1627" s="17">
        <v>1.75</v>
      </c>
      <c r="F1627" t="s">
        <v>2310</v>
      </c>
      <c r="G1627">
        <v>0.5</v>
      </c>
      <c r="H1627">
        <v>0.25</v>
      </c>
      <c r="I1627">
        <v>1</v>
      </c>
      <c r="Q1627" s="1"/>
      <c r="R1627" s="1">
        <v>0.1</v>
      </c>
    </row>
    <row r="1628" spans="1:19" ht="15.75" customHeight="1" x14ac:dyDescent="0.25">
      <c r="A1628" s="2">
        <v>5444110</v>
      </c>
      <c r="B1628">
        <v>5444110</v>
      </c>
      <c r="C1628" t="str">
        <f>HYPERLINK("https://ois.dk/map/5444110/sfe", "Link")</f>
        <v>Link</v>
      </c>
      <c r="D1628" t="s">
        <v>2311</v>
      </c>
      <c r="E1628" s="17">
        <v>1.75</v>
      </c>
      <c r="F1628" t="s">
        <v>2312</v>
      </c>
      <c r="G1628">
        <v>0.5</v>
      </c>
      <c r="H1628">
        <v>0.25</v>
      </c>
      <c r="I1628">
        <v>1</v>
      </c>
      <c r="Q1628" s="1"/>
      <c r="R1628" s="1">
        <v>0.36</v>
      </c>
    </row>
    <row r="1629" spans="1:19" ht="15.75" customHeight="1" x14ac:dyDescent="0.25">
      <c r="A1629" s="2">
        <v>5444111</v>
      </c>
      <c r="B1629">
        <v>5444111</v>
      </c>
      <c r="C1629" t="str">
        <f>HYPERLINK("https://ois.dk/map/5444111/sfe", "Link")</f>
        <v>Link</v>
      </c>
      <c r="D1629" t="s">
        <v>2313</v>
      </c>
      <c r="E1629" s="17">
        <v>1.75</v>
      </c>
      <c r="F1629" t="s">
        <v>2314</v>
      </c>
      <c r="G1629">
        <v>0.5</v>
      </c>
      <c r="H1629">
        <v>0.25</v>
      </c>
      <c r="I1629">
        <v>1</v>
      </c>
      <c r="Q1629" s="1"/>
      <c r="R1629" s="1">
        <v>0.64</v>
      </c>
    </row>
    <row r="1630" spans="1:19" ht="15.75" customHeight="1" x14ac:dyDescent="0.25">
      <c r="A1630" s="2">
        <v>5444112</v>
      </c>
      <c r="B1630">
        <v>5444112</v>
      </c>
      <c r="C1630" t="str">
        <f>HYPERLINK("https://ois.dk/map/5444112/sfe", "Link")</f>
        <v>Link</v>
      </c>
      <c r="D1630" t="s">
        <v>2315</v>
      </c>
      <c r="E1630" s="17">
        <v>1.75</v>
      </c>
      <c r="F1630" t="s">
        <v>2316</v>
      </c>
      <c r="G1630">
        <v>0.5</v>
      </c>
      <c r="H1630">
        <v>0.25</v>
      </c>
      <c r="I1630">
        <v>1</v>
      </c>
      <c r="Q1630" s="1"/>
      <c r="R1630" s="1">
        <v>0.3</v>
      </c>
    </row>
    <row r="1631" spans="1:19" ht="15.75" customHeight="1" x14ac:dyDescent="0.25">
      <c r="A1631" s="2">
        <v>5444113</v>
      </c>
      <c r="B1631">
        <v>5444113</v>
      </c>
      <c r="C1631" t="str">
        <f>HYPERLINK("https://ois.dk/map/5444113/sfe", "Link")</f>
        <v>Link</v>
      </c>
      <c r="D1631" t="s">
        <v>2317</v>
      </c>
      <c r="E1631" s="17">
        <v>1.75</v>
      </c>
      <c r="F1631" t="s">
        <v>2318</v>
      </c>
      <c r="G1631">
        <v>0.5</v>
      </c>
      <c r="H1631">
        <v>0.25</v>
      </c>
      <c r="I1631">
        <v>1</v>
      </c>
      <c r="Q1631" s="1"/>
      <c r="R1631" s="1">
        <v>0.41</v>
      </c>
    </row>
    <row r="1632" spans="1:19" ht="15.75" customHeight="1" x14ac:dyDescent="0.25">
      <c r="A1632" s="2">
        <v>5444114</v>
      </c>
      <c r="B1632">
        <v>5444114</v>
      </c>
      <c r="C1632" t="str">
        <f>HYPERLINK("https://ois.dk/map/5444114/sfe", "Link")</f>
        <v>Link</v>
      </c>
      <c r="D1632" t="s">
        <v>2319</v>
      </c>
      <c r="E1632" s="17">
        <v>1.75</v>
      </c>
      <c r="F1632" t="s">
        <v>2320</v>
      </c>
      <c r="G1632">
        <v>0.5</v>
      </c>
      <c r="H1632">
        <v>0.25</v>
      </c>
      <c r="I1632">
        <v>1</v>
      </c>
      <c r="Q1632" s="1"/>
      <c r="R1632" s="1">
        <v>0.65</v>
      </c>
    </row>
    <row r="1633" spans="1:18" ht="15.75" customHeight="1" x14ac:dyDescent="0.25">
      <c r="A1633" s="2">
        <v>5444115</v>
      </c>
      <c r="B1633">
        <v>5444115</v>
      </c>
      <c r="C1633" t="str">
        <f>HYPERLINK("https://ois.dk/map/5444115/sfe", "Link")</f>
        <v>Link</v>
      </c>
      <c r="D1633" t="s">
        <v>2321</v>
      </c>
      <c r="E1633" s="17">
        <v>1.75</v>
      </c>
      <c r="F1633" t="s">
        <v>2322</v>
      </c>
      <c r="G1633">
        <v>0.5</v>
      </c>
      <c r="H1633">
        <v>0.25</v>
      </c>
      <c r="I1633">
        <v>1</v>
      </c>
      <c r="Q1633" s="1"/>
      <c r="R1633" s="1">
        <v>0.89</v>
      </c>
    </row>
    <row r="1634" spans="1:18" ht="15.75" customHeight="1" x14ac:dyDescent="0.25">
      <c r="A1634" s="2">
        <v>5444116</v>
      </c>
      <c r="B1634">
        <v>5444116</v>
      </c>
      <c r="C1634" t="str">
        <f>HYPERLINK("https://ois.dk/map/5444116/sfe", "Link")</f>
        <v>Link</v>
      </c>
      <c r="D1634" t="s">
        <v>2323</v>
      </c>
      <c r="E1634" s="17">
        <v>1.75</v>
      </c>
      <c r="F1634" t="s">
        <v>2324</v>
      </c>
      <c r="G1634">
        <v>0.5</v>
      </c>
      <c r="H1634">
        <v>0.25</v>
      </c>
      <c r="I1634">
        <v>1</v>
      </c>
      <c r="Q1634" s="1"/>
      <c r="R1634" s="1">
        <v>0.69</v>
      </c>
    </row>
    <row r="1635" spans="1:18" ht="15.75" customHeight="1" x14ac:dyDescent="0.25">
      <c r="A1635" s="2">
        <v>5444117</v>
      </c>
      <c r="B1635">
        <v>5444117</v>
      </c>
      <c r="C1635" t="str">
        <f>HYPERLINK("https://ois.dk/map/5444117/sfe", "Link")</f>
        <v>Link</v>
      </c>
      <c r="D1635" t="s">
        <v>2325</v>
      </c>
      <c r="E1635" s="17">
        <v>1.75</v>
      </c>
      <c r="F1635" t="s">
        <v>2326</v>
      </c>
      <c r="G1635">
        <v>0.5</v>
      </c>
      <c r="H1635">
        <v>0.25</v>
      </c>
      <c r="I1635">
        <v>1</v>
      </c>
      <c r="Q1635" s="1"/>
      <c r="R1635" s="1">
        <v>0.76</v>
      </c>
    </row>
    <row r="1636" spans="1:18" ht="15.75" customHeight="1" x14ac:dyDescent="0.25">
      <c r="A1636" s="2">
        <v>5444118</v>
      </c>
      <c r="B1636">
        <v>5444118</v>
      </c>
      <c r="C1636" t="str">
        <f>HYPERLINK("https://ois.dk/map/5444118/sfe", "Link")</f>
        <v>Link</v>
      </c>
      <c r="D1636" t="s">
        <v>2327</v>
      </c>
      <c r="E1636" s="17">
        <v>1.75</v>
      </c>
      <c r="F1636" t="s">
        <v>2328</v>
      </c>
      <c r="G1636">
        <v>0.5</v>
      </c>
      <c r="H1636">
        <v>0.25</v>
      </c>
      <c r="I1636">
        <v>1</v>
      </c>
      <c r="Q1636" s="1"/>
      <c r="R1636" s="1">
        <v>0.48</v>
      </c>
    </row>
    <row r="1637" spans="1:18" ht="15.75" customHeight="1" x14ac:dyDescent="0.25">
      <c r="A1637" s="2">
        <v>5444119</v>
      </c>
      <c r="B1637">
        <v>5444119</v>
      </c>
      <c r="C1637" t="str">
        <f>HYPERLINK("https://ois.dk/map/5444119/sfe", "Link")</f>
        <v>Link</v>
      </c>
      <c r="D1637" t="s">
        <v>2329</v>
      </c>
      <c r="E1637" s="17">
        <v>1.75</v>
      </c>
      <c r="F1637" t="s">
        <v>2330</v>
      </c>
      <c r="G1637">
        <v>0.5</v>
      </c>
      <c r="H1637">
        <v>0.25</v>
      </c>
      <c r="I1637">
        <v>1</v>
      </c>
      <c r="Q1637" s="1"/>
      <c r="R1637" s="1">
        <v>0.37</v>
      </c>
    </row>
    <row r="1638" spans="1:18" ht="15.75" customHeight="1" x14ac:dyDescent="0.25">
      <c r="A1638" s="2">
        <v>5444120</v>
      </c>
      <c r="B1638">
        <v>5444120</v>
      </c>
      <c r="C1638" t="str">
        <f>HYPERLINK("https://ois.dk/map/5444120/sfe", "Link")</f>
        <v>Link</v>
      </c>
      <c r="D1638" t="s">
        <v>2331</v>
      </c>
      <c r="E1638" s="17">
        <v>1.75</v>
      </c>
      <c r="F1638" t="s">
        <v>2332</v>
      </c>
      <c r="G1638">
        <v>0.5</v>
      </c>
      <c r="H1638">
        <v>0.25</v>
      </c>
      <c r="I1638">
        <v>1</v>
      </c>
      <c r="Q1638" s="1"/>
      <c r="R1638" s="1">
        <v>0.28999999999999998</v>
      </c>
    </row>
    <row r="1639" spans="1:18" ht="15.75" customHeight="1" x14ac:dyDescent="0.25">
      <c r="A1639" s="2">
        <v>5444121</v>
      </c>
      <c r="B1639">
        <v>5444121</v>
      </c>
      <c r="C1639" t="str">
        <f>HYPERLINK("https://ois.dk/map/5444121/sfe", "Link")</f>
        <v>Link</v>
      </c>
      <c r="D1639" t="s">
        <v>2333</v>
      </c>
      <c r="E1639" s="17">
        <v>1.75</v>
      </c>
      <c r="F1639" t="s">
        <v>2334</v>
      </c>
      <c r="G1639">
        <v>0.5</v>
      </c>
      <c r="H1639">
        <v>0.25</v>
      </c>
      <c r="I1639">
        <v>1</v>
      </c>
      <c r="Q1639" s="1"/>
      <c r="R1639" s="1">
        <v>0.25</v>
      </c>
    </row>
    <row r="1640" spans="1:18" ht="15.75" customHeight="1" x14ac:dyDescent="0.25">
      <c r="A1640" s="2">
        <v>5444122</v>
      </c>
      <c r="B1640">
        <v>5444122</v>
      </c>
      <c r="C1640" t="str">
        <f>HYPERLINK("https://ois.dk/map/5444122/sfe", "Link")</f>
        <v>Link</v>
      </c>
      <c r="D1640" t="s">
        <v>2335</v>
      </c>
      <c r="E1640" s="17">
        <v>1.75</v>
      </c>
      <c r="F1640" t="s">
        <v>2336</v>
      </c>
      <c r="G1640">
        <v>0.5</v>
      </c>
      <c r="H1640">
        <v>0.25</v>
      </c>
      <c r="I1640">
        <v>1</v>
      </c>
      <c r="Q1640" s="1"/>
      <c r="R1640" s="1">
        <v>0.24</v>
      </c>
    </row>
    <row r="1641" spans="1:18" ht="15.75" customHeight="1" x14ac:dyDescent="0.25">
      <c r="A1641" s="2">
        <v>5444123</v>
      </c>
      <c r="B1641">
        <v>5444123</v>
      </c>
      <c r="C1641" t="str">
        <f>HYPERLINK("https://ois.dk/map/5444123/sfe", "Link")</f>
        <v>Link</v>
      </c>
      <c r="D1641" t="s">
        <v>2337</v>
      </c>
      <c r="E1641" s="17">
        <v>1.75</v>
      </c>
      <c r="F1641" t="s">
        <v>2338</v>
      </c>
      <c r="G1641">
        <v>0.5</v>
      </c>
      <c r="H1641">
        <v>0.25</v>
      </c>
      <c r="I1641">
        <v>1</v>
      </c>
      <c r="Q1641" s="1"/>
      <c r="R1641" s="1">
        <v>0.23</v>
      </c>
    </row>
    <row r="1642" spans="1:18" ht="15.75" customHeight="1" x14ac:dyDescent="0.25">
      <c r="A1642" s="2">
        <v>5444124</v>
      </c>
      <c r="B1642">
        <v>5444124</v>
      </c>
      <c r="C1642" t="str">
        <f>HYPERLINK("https://ois.dk/map/5444124/sfe", "Link")</f>
        <v>Link</v>
      </c>
      <c r="D1642" t="s">
        <v>2339</v>
      </c>
      <c r="E1642" s="17">
        <v>0.75</v>
      </c>
      <c r="F1642" t="s">
        <v>2340</v>
      </c>
      <c r="G1642">
        <v>0.5</v>
      </c>
      <c r="H1642">
        <v>0.25</v>
      </c>
      <c r="Q1642" s="1"/>
      <c r="R1642" s="1"/>
    </row>
    <row r="1643" spans="1:18" ht="15.75" customHeight="1" x14ac:dyDescent="0.25">
      <c r="A1643" s="2">
        <v>5444125</v>
      </c>
      <c r="B1643">
        <v>5444125</v>
      </c>
      <c r="C1643" t="str">
        <f>HYPERLINK("https://ois.dk/map/5444125/sfe", "Link")</f>
        <v>Link</v>
      </c>
      <c r="D1643" t="s">
        <v>2341</v>
      </c>
      <c r="E1643" s="17">
        <v>1.75</v>
      </c>
      <c r="F1643" t="s">
        <v>2342</v>
      </c>
      <c r="G1643">
        <v>0.5</v>
      </c>
      <c r="H1643">
        <v>0.25</v>
      </c>
      <c r="I1643">
        <v>1</v>
      </c>
      <c r="Q1643" s="1"/>
      <c r="R1643" s="1">
        <v>0.04</v>
      </c>
    </row>
    <row r="1644" spans="1:18" ht="15.75" customHeight="1" x14ac:dyDescent="0.25">
      <c r="A1644" s="2">
        <v>5444126</v>
      </c>
      <c r="B1644">
        <v>5444126</v>
      </c>
      <c r="C1644" t="str">
        <f>HYPERLINK("https://ois.dk/map/5444126/sfe", "Link")</f>
        <v>Link</v>
      </c>
      <c r="D1644" t="s">
        <v>2343</v>
      </c>
      <c r="E1644" s="17">
        <v>1.75</v>
      </c>
      <c r="F1644" t="s">
        <v>2344</v>
      </c>
      <c r="G1644">
        <v>0.5</v>
      </c>
      <c r="H1644">
        <v>0.25</v>
      </c>
      <c r="I1644">
        <v>1</v>
      </c>
      <c r="Q1644" s="1"/>
      <c r="R1644" s="1">
        <v>0.03</v>
      </c>
    </row>
    <row r="1645" spans="1:18" ht="15.75" customHeight="1" x14ac:dyDescent="0.25">
      <c r="A1645" s="2">
        <v>5444127</v>
      </c>
      <c r="B1645">
        <v>5444127</v>
      </c>
      <c r="C1645" t="str">
        <f>HYPERLINK("https://ois.dk/map/5444127/sfe", "Link")</f>
        <v>Link</v>
      </c>
      <c r="D1645" t="s">
        <v>2345</v>
      </c>
      <c r="E1645" s="17">
        <v>1.75</v>
      </c>
      <c r="F1645" t="s">
        <v>2346</v>
      </c>
      <c r="G1645">
        <v>0.5</v>
      </c>
      <c r="H1645">
        <v>0.25</v>
      </c>
      <c r="I1645">
        <v>1</v>
      </c>
      <c r="Q1645" s="1"/>
      <c r="R1645" s="1">
        <v>0.02</v>
      </c>
    </row>
    <row r="1646" spans="1:18" ht="15.75" customHeight="1" x14ac:dyDescent="0.25">
      <c r="A1646" s="2">
        <v>5444128</v>
      </c>
      <c r="B1646">
        <v>5444128</v>
      </c>
      <c r="C1646" t="str">
        <f>HYPERLINK("https://ois.dk/map/5444128/sfe", "Link")</f>
        <v>Link</v>
      </c>
      <c r="D1646" t="s">
        <v>2347</v>
      </c>
      <c r="E1646" s="17">
        <v>1.75</v>
      </c>
      <c r="F1646" t="s">
        <v>2348</v>
      </c>
      <c r="G1646">
        <v>0.5</v>
      </c>
      <c r="H1646">
        <v>0.25</v>
      </c>
      <c r="I1646">
        <v>1</v>
      </c>
      <c r="Q1646" s="1"/>
      <c r="R1646" s="1">
        <v>0.03</v>
      </c>
    </row>
    <row r="1647" spans="1:18" ht="15.75" customHeight="1" x14ac:dyDescent="0.25">
      <c r="A1647" s="2">
        <v>5444129</v>
      </c>
      <c r="B1647">
        <v>5444129</v>
      </c>
      <c r="C1647" t="str">
        <f>HYPERLINK("https://ois.dk/map/5444129/sfe", "Link")</f>
        <v>Link</v>
      </c>
      <c r="D1647" t="s">
        <v>2349</v>
      </c>
      <c r="E1647" s="17">
        <v>1.75</v>
      </c>
      <c r="F1647" t="s">
        <v>2350</v>
      </c>
      <c r="G1647">
        <v>0.5</v>
      </c>
      <c r="H1647">
        <v>0.25</v>
      </c>
      <c r="I1647">
        <v>1</v>
      </c>
      <c r="Q1647" s="1"/>
      <c r="R1647" s="1">
        <v>0.03</v>
      </c>
    </row>
    <row r="1648" spans="1:18" ht="15.75" customHeight="1" x14ac:dyDescent="0.25">
      <c r="A1648" s="2">
        <v>5444130</v>
      </c>
      <c r="B1648">
        <v>5444130</v>
      </c>
      <c r="C1648" t="str">
        <f>HYPERLINK("https://ois.dk/map/5444130/sfe", "Link")</f>
        <v>Link</v>
      </c>
      <c r="D1648" t="s">
        <v>2351</v>
      </c>
      <c r="E1648" s="17">
        <v>1.75</v>
      </c>
      <c r="F1648" t="s">
        <v>2352</v>
      </c>
      <c r="G1648">
        <v>0.5</v>
      </c>
      <c r="H1648">
        <v>0.25</v>
      </c>
      <c r="I1648">
        <v>1</v>
      </c>
      <c r="Q1648" s="1"/>
      <c r="R1648" s="1">
        <v>0.02</v>
      </c>
    </row>
    <row r="1649" spans="1:18" ht="15.75" customHeight="1" x14ac:dyDescent="0.25">
      <c r="A1649" s="2">
        <v>5444131</v>
      </c>
      <c r="B1649">
        <v>5444131</v>
      </c>
      <c r="C1649" t="str">
        <f>HYPERLINK("https://ois.dk/map/5444131/sfe", "Link")</f>
        <v>Link</v>
      </c>
      <c r="D1649" t="s">
        <v>2353</v>
      </c>
      <c r="E1649" s="17">
        <v>1.75</v>
      </c>
      <c r="F1649" t="s">
        <v>2354</v>
      </c>
      <c r="G1649">
        <v>0.5</v>
      </c>
      <c r="H1649">
        <v>0.25</v>
      </c>
      <c r="I1649">
        <v>1</v>
      </c>
      <c r="Q1649" s="1"/>
      <c r="R1649" s="1">
        <v>0.02</v>
      </c>
    </row>
    <row r="1650" spans="1:18" ht="15.75" customHeight="1" x14ac:dyDescent="0.25">
      <c r="A1650" s="2">
        <v>5444132</v>
      </c>
      <c r="B1650">
        <v>5444132</v>
      </c>
      <c r="C1650" t="str">
        <f>HYPERLINK("https://ois.dk/map/5444132/sfe", "Link")</f>
        <v>Link</v>
      </c>
      <c r="D1650" t="s">
        <v>2355</v>
      </c>
      <c r="E1650" s="17">
        <v>1.75</v>
      </c>
      <c r="F1650" t="s">
        <v>2356</v>
      </c>
      <c r="G1650">
        <v>0.5</v>
      </c>
      <c r="H1650">
        <v>0.25</v>
      </c>
      <c r="I1650">
        <v>1</v>
      </c>
      <c r="Q1650" s="1"/>
      <c r="R1650" s="1">
        <v>0.13</v>
      </c>
    </row>
    <row r="1651" spans="1:18" ht="15.75" customHeight="1" x14ac:dyDescent="0.25">
      <c r="A1651" s="2">
        <v>5444133</v>
      </c>
      <c r="B1651">
        <v>5444133</v>
      </c>
      <c r="C1651" t="str">
        <f>HYPERLINK("https://ois.dk/map/5444133/sfe", "Link")</f>
        <v>Link</v>
      </c>
      <c r="D1651" t="s">
        <v>2357</v>
      </c>
      <c r="E1651" s="17">
        <v>1.75</v>
      </c>
      <c r="F1651" t="s">
        <v>2358</v>
      </c>
      <c r="G1651">
        <v>0.5</v>
      </c>
      <c r="H1651">
        <v>0.25</v>
      </c>
      <c r="I1651">
        <v>1</v>
      </c>
      <c r="Q1651" s="1"/>
      <c r="R1651" s="1">
        <v>0.12</v>
      </c>
    </row>
    <row r="1652" spans="1:18" ht="15.75" customHeight="1" x14ac:dyDescent="0.25">
      <c r="A1652" s="2">
        <v>5444134</v>
      </c>
      <c r="B1652">
        <v>5444134</v>
      </c>
      <c r="C1652" t="str">
        <f>HYPERLINK("https://ois.dk/map/5444134/sfe", "Link")</f>
        <v>Link</v>
      </c>
      <c r="D1652" t="s">
        <v>2359</v>
      </c>
      <c r="E1652" s="17">
        <v>1.75</v>
      </c>
      <c r="F1652" t="s">
        <v>2360</v>
      </c>
      <c r="G1652">
        <v>0.5</v>
      </c>
      <c r="H1652">
        <v>0.25</v>
      </c>
      <c r="I1652">
        <v>1</v>
      </c>
      <c r="Q1652" s="1"/>
      <c r="R1652" s="1">
        <v>0.11</v>
      </c>
    </row>
    <row r="1653" spans="1:18" ht="15.75" customHeight="1" x14ac:dyDescent="0.25">
      <c r="A1653" s="2">
        <v>5444135</v>
      </c>
      <c r="B1653">
        <v>5444135</v>
      </c>
      <c r="C1653" t="str">
        <f>HYPERLINK("https://ois.dk/map/5444135/sfe", "Link")</f>
        <v>Link</v>
      </c>
      <c r="D1653" t="s">
        <v>2361</v>
      </c>
      <c r="E1653" s="17">
        <v>1.75</v>
      </c>
      <c r="F1653" t="s">
        <v>2362</v>
      </c>
      <c r="G1653">
        <v>0.5</v>
      </c>
      <c r="H1653">
        <v>0.25</v>
      </c>
      <c r="I1653">
        <v>1</v>
      </c>
      <c r="Q1653" s="1"/>
      <c r="R1653" s="1">
        <v>0.09</v>
      </c>
    </row>
    <row r="1654" spans="1:18" ht="15.75" customHeight="1" x14ac:dyDescent="0.25">
      <c r="A1654" s="2">
        <v>5444136</v>
      </c>
      <c r="B1654">
        <v>5444136</v>
      </c>
      <c r="C1654" t="str">
        <f>HYPERLINK("https://ois.dk/map/5444136/sfe", "Link")</f>
        <v>Link</v>
      </c>
      <c r="D1654" t="s">
        <v>2363</v>
      </c>
      <c r="E1654" s="17">
        <v>1.75</v>
      </c>
      <c r="F1654" t="s">
        <v>2364</v>
      </c>
      <c r="G1654">
        <v>0.5</v>
      </c>
      <c r="H1654">
        <v>0.25</v>
      </c>
      <c r="I1654">
        <v>1</v>
      </c>
      <c r="Q1654" s="1"/>
      <c r="R1654" s="1">
        <v>0.12</v>
      </c>
    </row>
    <row r="1655" spans="1:18" ht="15.75" customHeight="1" x14ac:dyDescent="0.25">
      <c r="A1655" s="2">
        <v>5444137</v>
      </c>
      <c r="B1655">
        <v>5444137</v>
      </c>
      <c r="C1655" t="str">
        <f>HYPERLINK("https://ois.dk/map/5444137/sfe", "Link")</f>
        <v>Link</v>
      </c>
      <c r="D1655" t="s">
        <v>2365</v>
      </c>
      <c r="E1655" s="17">
        <v>1.75</v>
      </c>
      <c r="F1655" t="s">
        <v>2366</v>
      </c>
      <c r="G1655">
        <v>0.5</v>
      </c>
      <c r="H1655">
        <v>0.25</v>
      </c>
      <c r="I1655">
        <v>1</v>
      </c>
      <c r="Q1655" s="1"/>
      <c r="R1655" s="1">
        <v>0.15</v>
      </c>
    </row>
    <row r="1656" spans="1:18" ht="15.75" customHeight="1" x14ac:dyDescent="0.25">
      <c r="A1656" s="2">
        <v>5444138</v>
      </c>
      <c r="B1656">
        <v>5444138</v>
      </c>
      <c r="C1656" t="str">
        <f>HYPERLINK("https://ois.dk/map/5444138/sfe", "Link")</f>
        <v>Link</v>
      </c>
      <c r="D1656" t="s">
        <v>2367</v>
      </c>
      <c r="E1656" s="17">
        <v>1.75</v>
      </c>
      <c r="F1656" t="s">
        <v>2368</v>
      </c>
      <c r="G1656">
        <v>0.5</v>
      </c>
      <c r="H1656">
        <v>0.25</v>
      </c>
      <c r="I1656">
        <v>1</v>
      </c>
      <c r="Q1656" s="1"/>
      <c r="R1656" s="1">
        <v>0.14000000000000001</v>
      </c>
    </row>
    <row r="1657" spans="1:18" ht="15.75" customHeight="1" x14ac:dyDescent="0.25">
      <c r="A1657" s="2">
        <v>5444139</v>
      </c>
      <c r="B1657">
        <v>5444139</v>
      </c>
      <c r="C1657" t="str">
        <f>HYPERLINK("https://ois.dk/map/5444139/sfe", "Link")</f>
        <v>Link</v>
      </c>
      <c r="D1657" t="s">
        <v>2369</v>
      </c>
      <c r="E1657" s="17">
        <v>1.75</v>
      </c>
      <c r="F1657" t="s">
        <v>2370</v>
      </c>
      <c r="G1657">
        <v>0.5</v>
      </c>
      <c r="H1657">
        <v>0.25</v>
      </c>
      <c r="I1657">
        <v>1</v>
      </c>
      <c r="Q1657" s="1"/>
      <c r="R1657" s="1">
        <v>0.14000000000000001</v>
      </c>
    </row>
    <row r="1658" spans="1:18" ht="15.75" customHeight="1" x14ac:dyDescent="0.25">
      <c r="A1658" s="2">
        <v>5444140</v>
      </c>
      <c r="B1658">
        <v>5444140</v>
      </c>
      <c r="C1658" t="str">
        <f>HYPERLINK("https://ois.dk/map/5444140/sfe", "Link")</f>
        <v>Link</v>
      </c>
      <c r="D1658" t="s">
        <v>2371</v>
      </c>
      <c r="E1658" s="17">
        <v>1.75</v>
      </c>
      <c r="F1658" t="s">
        <v>2372</v>
      </c>
      <c r="G1658">
        <v>0.5</v>
      </c>
      <c r="H1658">
        <v>0.25</v>
      </c>
      <c r="I1658">
        <v>1</v>
      </c>
      <c r="Q1658" s="1"/>
      <c r="R1658" s="1">
        <v>0.15</v>
      </c>
    </row>
    <row r="1659" spans="1:18" ht="15.75" customHeight="1" x14ac:dyDescent="0.25">
      <c r="A1659" s="2">
        <v>5444141</v>
      </c>
      <c r="B1659">
        <v>5444141</v>
      </c>
      <c r="C1659" t="str">
        <f>HYPERLINK("https://ois.dk/map/5444141/sfe", "Link")</f>
        <v>Link</v>
      </c>
      <c r="D1659" t="s">
        <v>2373</v>
      </c>
      <c r="E1659" s="17">
        <v>1.75</v>
      </c>
      <c r="F1659" t="s">
        <v>2374</v>
      </c>
      <c r="G1659">
        <v>0.5</v>
      </c>
      <c r="H1659">
        <v>0.25</v>
      </c>
      <c r="I1659">
        <v>1</v>
      </c>
      <c r="Q1659" s="1"/>
      <c r="R1659" s="1">
        <v>0.16</v>
      </c>
    </row>
    <row r="1660" spans="1:18" ht="15.75" customHeight="1" x14ac:dyDescent="0.25">
      <c r="A1660" s="2">
        <v>5444142</v>
      </c>
      <c r="B1660">
        <v>5444142</v>
      </c>
      <c r="C1660" t="str">
        <f>HYPERLINK("https://ois.dk/map/5444142/sfe", "Link")</f>
        <v>Link</v>
      </c>
      <c r="D1660" t="s">
        <v>2375</v>
      </c>
      <c r="E1660" s="17">
        <v>1.75</v>
      </c>
      <c r="F1660" t="s">
        <v>2376</v>
      </c>
      <c r="G1660">
        <v>0.5</v>
      </c>
      <c r="H1660">
        <v>0.25</v>
      </c>
      <c r="I1660">
        <v>1</v>
      </c>
      <c r="Q1660" s="1"/>
      <c r="R1660" s="1">
        <v>0.15</v>
      </c>
    </row>
    <row r="1661" spans="1:18" ht="15.75" customHeight="1" x14ac:dyDescent="0.25">
      <c r="A1661" s="2">
        <v>5444143</v>
      </c>
      <c r="B1661">
        <v>5444143</v>
      </c>
      <c r="C1661" t="str">
        <f>HYPERLINK("https://ois.dk/map/5444143/sfe", "Link")</f>
        <v>Link</v>
      </c>
      <c r="D1661" t="s">
        <v>2377</v>
      </c>
      <c r="E1661" s="17">
        <v>1.75</v>
      </c>
      <c r="F1661" t="s">
        <v>2378</v>
      </c>
      <c r="G1661">
        <v>0.5</v>
      </c>
      <c r="H1661">
        <v>0.25</v>
      </c>
      <c r="I1661">
        <v>1</v>
      </c>
      <c r="Q1661" s="1"/>
      <c r="R1661" s="1">
        <v>0.06</v>
      </c>
    </row>
    <row r="1662" spans="1:18" ht="15.75" customHeight="1" x14ac:dyDescent="0.25">
      <c r="A1662" s="2">
        <v>5444144</v>
      </c>
      <c r="B1662">
        <v>5444144</v>
      </c>
      <c r="C1662" t="str">
        <f>HYPERLINK("https://ois.dk/map/5444144/sfe", "Link")</f>
        <v>Link</v>
      </c>
      <c r="D1662" t="s">
        <v>2379</v>
      </c>
      <c r="E1662" s="17">
        <v>1.75</v>
      </c>
      <c r="F1662" t="s">
        <v>2380</v>
      </c>
      <c r="G1662">
        <v>0.5</v>
      </c>
      <c r="H1662">
        <v>0.25</v>
      </c>
      <c r="I1662">
        <v>1</v>
      </c>
      <c r="Q1662" s="1"/>
      <c r="R1662" s="1">
        <v>0.15</v>
      </c>
    </row>
    <row r="1663" spans="1:18" ht="15.75" customHeight="1" x14ac:dyDescent="0.25">
      <c r="A1663" s="2">
        <v>5444145</v>
      </c>
      <c r="B1663">
        <v>5444145</v>
      </c>
      <c r="C1663" t="str">
        <f>HYPERLINK("https://ois.dk/map/5444145/sfe", "Link")</f>
        <v>Link</v>
      </c>
      <c r="D1663" t="s">
        <v>2381</v>
      </c>
      <c r="E1663" s="17">
        <v>1.75</v>
      </c>
      <c r="F1663" t="s">
        <v>2382</v>
      </c>
      <c r="G1663">
        <v>0.5</v>
      </c>
      <c r="H1663">
        <v>0.25</v>
      </c>
      <c r="I1663">
        <v>1</v>
      </c>
      <c r="Q1663" s="1"/>
      <c r="R1663" s="1">
        <v>0.16</v>
      </c>
    </row>
    <row r="1664" spans="1:18" ht="15.75" customHeight="1" x14ac:dyDescent="0.25">
      <c r="A1664" s="2">
        <v>5444146</v>
      </c>
      <c r="B1664">
        <v>5444146</v>
      </c>
      <c r="C1664" t="str">
        <f>HYPERLINK("https://ois.dk/map/5444146/sfe", "Link")</f>
        <v>Link</v>
      </c>
      <c r="D1664" t="s">
        <v>2383</v>
      </c>
      <c r="E1664" s="17">
        <v>1.75</v>
      </c>
      <c r="F1664" t="s">
        <v>2384</v>
      </c>
      <c r="G1664">
        <v>0.5</v>
      </c>
      <c r="H1664">
        <v>0.25</v>
      </c>
      <c r="I1664">
        <v>1</v>
      </c>
      <c r="Q1664" s="1"/>
      <c r="R1664" s="1">
        <v>0.14000000000000001</v>
      </c>
    </row>
    <row r="1665" spans="1:18" ht="15.75" customHeight="1" x14ac:dyDescent="0.25">
      <c r="A1665" s="2">
        <v>5444147</v>
      </c>
      <c r="B1665">
        <v>5444147</v>
      </c>
      <c r="C1665" t="str">
        <f>HYPERLINK("https://ois.dk/map/5444147/sfe", "Link")</f>
        <v>Link</v>
      </c>
      <c r="D1665" t="s">
        <v>2385</v>
      </c>
      <c r="E1665" s="17">
        <v>1.75</v>
      </c>
      <c r="F1665" t="s">
        <v>2386</v>
      </c>
      <c r="G1665">
        <v>0.5</v>
      </c>
      <c r="H1665">
        <v>0.25</v>
      </c>
      <c r="I1665">
        <v>1</v>
      </c>
      <c r="Q1665" s="1"/>
      <c r="R1665" s="1">
        <v>0.16</v>
      </c>
    </row>
    <row r="1666" spans="1:18" ht="15.75" customHeight="1" x14ac:dyDescent="0.25">
      <c r="A1666" s="2">
        <v>5444148</v>
      </c>
      <c r="B1666">
        <v>5444148</v>
      </c>
      <c r="C1666" t="str">
        <f>HYPERLINK("https://ois.dk/map/5444148/sfe", "Link")</f>
        <v>Link</v>
      </c>
      <c r="D1666" t="s">
        <v>2387</v>
      </c>
      <c r="E1666" s="17">
        <v>1.75</v>
      </c>
      <c r="F1666" t="s">
        <v>2388</v>
      </c>
      <c r="G1666">
        <v>0.5</v>
      </c>
      <c r="H1666">
        <v>0.25</v>
      </c>
      <c r="I1666">
        <v>1</v>
      </c>
      <c r="Q1666" s="1"/>
      <c r="R1666" s="1">
        <v>0.18</v>
      </c>
    </row>
    <row r="1667" spans="1:18" ht="15.75" customHeight="1" x14ac:dyDescent="0.25">
      <c r="A1667" s="2">
        <v>5444149</v>
      </c>
      <c r="B1667">
        <v>5444149</v>
      </c>
      <c r="C1667" t="str">
        <f>HYPERLINK("https://ois.dk/map/5444149/sfe", "Link")</f>
        <v>Link</v>
      </c>
      <c r="D1667" t="s">
        <v>2389</v>
      </c>
      <c r="E1667" s="17">
        <v>1.75</v>
      </c>
      <c r="F1667" t="s">
        <v>2390</v>
      </c>
      <c r="G1667">
        <v>0.5</v>
      </c>
      <c r="H1667">
        <v>0.25</v>
      </c>
      <c r="I1667">
        <v>1</v>
      </c>
      <c r="Q1667" s="1"/>
      <c r="R1667" s="1">
        <v>0.15</v>
      </c>
    </row>
    <row r="1668" spans="1:18" ht="15.75" customHeight="1" x14ac:dyDescent="0.25">
      <c r="A1668" s="2">
        <v>5444150</v>
      </c>
      <c r="B1668">
        <v>5444150</v>
      </c>
      <c r="C1668" t="str">
        <f>HYPERLINK("https://ois.dk/map/5444150/sfe", "Link")</f>
        <v>Link</v>
      </c>
      <c r="D1668" t="s">
        <v>2391</v>
      </c>
      <c r="E1668" s="17">
        <v>1.75</v>
      </c>
      <c r="F1668" t="s">
        <v>2392</v>
      </c>
      <c r="G1668">
        <v>0.5</v>
      </c>
      <c r="H1668">
        <v>0.25</v>
      </c>
      <c r="I1668">
        <v>1</v>
      </c>
      <c r="Q1668" s="1"/>
      <c r="R1668" s="1">
        <v>0.15</v>
      </c>
    </row>
    <row r="1669" spans="1:18" ht="15.75" customHeight="1" x14ac:dyDescent="0.25">
      <c r="A1669" s="2">
        <v>5444151</v>
      </c>
      <c r="B1669">
        <v>5444151</v>
      </c>
      <c r="C1669" t="str">
        <f>HYPERLINK("https://ois.dk/map/5444151/sfe", "Link")</f>
        <v>Link</v>
      </c>
      <c r="D1669" t="s">
        <v>2393</v>
      </c>
      <c r="E1669" s="17">
        <v>1.75</v>
      </c>
      <c r="F1669" t="s">
        <v>2394</v>
      </c>
      <c r="G1669">
        <v>0.5</v>
      </c>
      <c r="H1669">
        <v>0.25</v>
      </c>
      <c r="I1669">
        <v>1</v>
      </c>
      <c r="Q1669" s="1"/>
      <c r="R1669" s="1">
        <v>0.15</v>
      </c>
    </row>
    <row r="1670" spans="1:18" ht="15.75" customHeight="1" x14ac:dyDescent="0.25">
      <c r="A1670" s="2">
        <v>5444152</v>
      </c>
      <c r="B1670">
        <v>5444152</v>
      </c>
      <c r="C1670" t="str">
        <f>HYPERLINK("https://ois.dk/map/5444152/sfe", "Link")</f>
        <v>Link</v>
      </c>
      <c r="D1670" t="s">
        <v>2395</v>
      </c>
      <c r="E1670" s="17">
        <v>1.75</v>
      </c>
      <c r="F1670" t="s">
        <v>2396</v>
      </c>
      <c r="G1670">
        <v>0.5</v>
      </c>
      <c r="H1670">
        <v>0.25</v>
      </c>
      <c r="I1670">
        <v>1</v>
      </c>
      <c r="Q1670" s="1"/>
      <c r="R1670" s="1">
        <v>0.15</v>
      </c>
    </row>
    <row r="1671" spans="1:18" ht="15.75" customHeight="1" x14ac:dyDescent="0.25">
      <c r="A1671" s="2">
        <v>5444153</v>
      </c>
      <c r="B1671">
        <v>5444153</v>
      </c>
      <c r="C1671" t="str">
        <f>HYPERLINK("https://ois.dk/map/5444153/sfe", "Link")</f>
        <v>Link</v>
      </c>
      <c r="D1671" t="s">
        <v>2397</v>
      </c>
      <c r="E1671" s="17">
        <v>1.75</v>
      </c>
      <c r="F1671" t="s">
        <v>2398</v>
      </c>
      <c r="G1671">
        <v>0.5</v>
      </c>
      <c r="H1671">
        <v>0.25</v>
      </c>
      <c r="I1671">
        <v>1</v>
      </c>
      <c r="Q1671" s="1"/>
      <c r="R1671" s="1">
        <v>0.14000000000000001</v>
      </c>
    </row>
    <row r="1672" spans="1:18" ht="15.75" customHeight="1" x14ac:dyDescent="0.25">
      <c r="A1672" s="2">
        <v>5444154</v>
      </c>
      <c r="B1672">
        <v>5444154</v>
      </c>
      <c r="C1672" t="str">
        <f>HYPERLINK("https://ois.dk/map/5444154/sfe", "Link")</f>
        <v>Link</v>
      </c>
      <c r="D1672" t="s">
        <v>2399</v>
      </c>
      <c r="E1672" s="17">
        <v>1.75</v>
      </c>
      <c r="F1672" t="s">
        <v>2400</v>
      </c>
      <c r="G1672">
        <v>0.5</v>
      </c>
      <c r="H1672">
        <v>0.25</v>
      </c>
      <c r="I1672">
        <v>1</v>
      </c>
      <c r="Q1672" s="1"/>
      <c r="R1672" s="1">
        <v>0.16</v>
      </c>
    </row>
    <row r="1673" spans="1:18" ht="15.75" customHeight="1" x14ac:dyDescent="0.25">
      <c r="A1673" s="2">
        <v>5444155</v>
      </c>
      <c r="B1673">
        <v>5444155</v>
      </c>
      <c r="C1673" t="str">
        <f>HYPERLINK("https://ois.dk/map/5444155/sfe", "Link")</f>
        <v>Link</v>
      </c>
      <c r="D1673" t="s">
        <v>2401</v>
      </c>
      <c r="E1673" s="17">
        <v>1.75</v>
      </c>
      <c r="F1673" t="s">
        <v>2402</v>
      </c>
      <c r="G1673">
        <v>0.5</v>
      </c>
      <c r="H1673">
        <v>0.25</v>
      </c>
      <c r="I1673">
        <v>1</v>
      </c>
      <c r="Q1673" s="1"/>
      <c r="R1673" s="1">
        <v>0.17</v>
      </c>
    </row>
    <row r="1674" spans="1:18" ht="15.75" customHeight="1" x14ac:dyDescent="0.25">
      <c r="A1674" s="2">
        <v>5444156</v>
      </c>
      <c r="B1674">
        <v>5444156</v>
      </c>
      <c r="C1674" t="str">
        <f>HYPERLINK("https://ois.dk/map/5444156/sfe", "Link")</f>
        <v>Link</v>
      </c>
      <c r="D1674" t="s">
        <v>2403</v>
      </c>
      <c r="E1674" s="17">
        <v>1.75</v>
      </c>
      <c r="F1674" t="s">
        <v>2404</v>
      </c>
      <c r="G1674">
        <v>0.5</v>
      </c>
      <c r="H1674">
        <v>0.25</v>
      </c>
      <c r="I1674">
        <v>1</v>
      </c>
      <c r="Q1674" s="1"/>
      <c r="R1674" s="1">
        <v>0.15</v>
      </c>
    </row>
    <row r="1675" spans="1:18" ht="15.75" customHeight="1" x14ac:dyDescent="0.25">
      <c r="A1675" s="2">
        <v>5444157</v>
      </c>
      <c r="B1675">
        <v>5444157</v>
      </c>
      <c r="C1675" t="str">
        <f>HYPERLINK("https://ois.dk/map/5444157/sfe", "Link")</f>
        <v>Link</v>
      </c>
      <c r="D1675" t="s">
        <v>2405</v>
      </c>
      <c r="E1675" s="17">
        <v>1.75</v>
      </c>
      <c r="F1675" t="s">
        <v>2406</v>
      </c>
      <c r="G1675">
        <v>0.5</v>
      </c>
      <c r="H1675">
        <v>0.25</v>
      </c>
      <c r="I1675">
        <v>1</v>
      </c>
      <c r="Q1675" s="1"/>
      <c r="R1675" s="1">
        <v>0.16</v>
      </c>
    </row>
    <row r="1676" spans="1:18" ht="15.75" customHeight="1" x14ac:dyDescent="0.25">
      <c r="A1676" s="2">
        <v>5444158</v>
      </c>
      <c r="B1676">
        <v>5444158</v>
      </c>
      <c r="C1676" t="str">
        <f>HYPERLINK("https://ois.dk/map/5444158/sfe", "Link")</f>
        <v>Link</v>
      </c>
      <c r="D1676" t="s">
        <v>2407</v>
      </c>
      <c r="E1676" s="17">
        <v>1.75</v>
      </c>
      <c r="F1676" t="s">
        <v>2408</v>
      </c>
      <c r="G1676">
        <v>0.5</v>
      </c>
      <c r="H1676">
        <v>0.25</v>
      </c>
      <c r="I1676">
        <v>1</v>
      </c>
      <c r="Q1676" s="1"/>
      <c r="R1676" s="1">
        <v>0.16</v>
      </c>
    </row>
    <row r="1677" spans="1:18" ht="15.75" customHeight="1" x14ac:dyDescent="0.25">
      <c r="A1677" s="2">
        <v>5444159</v>
      </c>
      <c r="B1677">
        <v>5444159</v>
      </c>
      <c r="C1677" t="str">
        <f>HYPERLINK("https://ois.dk/map/5444159/sfe", "Link")</f>
        <v>Link</v>
      </c>
      <c r="D1677" t="s">
        <v>2409</v>
      </c>
      <c r="E1677" s="17">
        <v>1.75</v>
      </c>
      <c r="F1677" t="s">
        <v>2410</v>
      </c>
      <c r="G1677">
        <v>0.5</v>
      </c>
      <c r="H1677">
        <v>0.25</v>
      </c>
      <c r="I1677">
        <v>1</v>
      </c>
      <c r="Q1677" s="1"/>
      <c r="R1677" s="1">
        <v>0.17</v>
      </c>
    </row>
    <row r="1678" spans="1:18" ht="15.75" customHeight="1" x14ac:dyDescent="0.25">
      <c r="A1678" s="2">
        <v>5444160</v>
      </c>
      <c r="B1678">
        <v>5444160</v>
      </c>
      <c r="C1678" t="str">
        <f>HYPERLINK("https://ois.dk/map/5444160/sfe", "Link")</f>
        <v>Link</v>
      </c>
      <c r="D1678" t="s">
        <v>2411</v>
      </c>
      <c r="E1678" s="17">
        <v>1.75</v>
      </c>
      <c r="F1678" t="s">
        <v>2412</v>
      </c>
      <c r="G1678">
        <v>0.5</v>
      </c>
      <c r="H1678">
        <v>0.25</v>
      </c>
      <c r="I1678">
        <v>1</v>
      </c>
      <c r="Q1678" s="1"/>
      <c r="R1678" s="1">
        <v>0.17</v>
      </c>
    </row>
    <row r="1679" spans="1:18" ht="15.75" customHeight="1" x14ac:dyDescent="0.25">
      <c r="A1679" s="2">
        <v>5444161</v>
      </c>
      <c r="B1679">
        <v>5444161</v>
      </c>
      <c r="C1679" t="str">
        <f>HYPERLINK("https://ois.dk/map/5444161/sfe", "Link")</f>
        <v>Link</v>
      </c>
      <c r="D1679" t="s">
        <v>2413</v>
      </c>
      <c r="E1679" s="17">
        <v>1.75</v>
      </c>
      <c r="F1679" t="s">
        <v>2414</v>
      </c>
      <c r="G1679">
        <v>0.5</v>
      </c>
      <c r="H1679">
        <v>0.25</v>
      </c>
      <c r="I1679">
        <v>1</v>
      </c>
      <c r="Q1679" s="1"/>
      <c r="R1679" s="1">
        <v>0.15</v>
      </c>
    </row>
    <row r="1680" spans="1:18" ht="15.75" customHeight="1" x14ac:dyDescent="0.25">
      <c r="A1680" s="2">
        <v>5444162</v>
      </c>
      <c r="B1680">
        <v>5444162</v>
      </c>
      <c r="C1680" t="str">
        <f>HYPERLINK("https://ois.dk/map/5444162/sfe", "Link")</f>
        <v>Link</v>
      </c>
      <c r="D1680" t="s">
        <v>2415</v>
      </c>
      <c r="E1680" s="17">
        <v>1.75</v>
      </c>
      <c r="F1680" t="s">
        <v>2416</v>
      </c>
      <c r="G1680">
        <v>0.5</v>
      </c>
      <c r="H1680">
        <v>0.25</v>
      </c>
      <c r="I1680">
        <v>1</v>
      </c>
      <c r="Q1680" s="1"/>
      <c r="R1680" s="1">
        <v>0.16</v>
      </c>
    </row>
    <row r="1681" spans="1:19" ht="15.75" customHeight="1" x14ac:dyDescent="0.25">
      <c r="A1681" s="2">
        <v>5444163</v>
      </c>
      <c r="B1681">
        <v>5444163</v>
      </c>
      <c r="C1681" t="str">
        <f>HYPERLINK("https://ois.dk/map/5444163/sfe", "Link")</f>
        <v>Link</v>
      </c>
      <c r="D1681" t="s">
        <v>2417</v>
      </c>
      <c r="E1681" s="17">
        <v>1.75</v>
      </c>
      <c r="F1681" t="s">
        <v>2418</v>
      </c>
      <c r="G1681">
        <v>0.5</v>
      </c>
      <c r="H1681">
        <v>0.25</v>
      </c>
      <c r="I1681">
        <v>1</v>
      </c>
      <c r="Q1681" s="1"/>
      <c r="R1681" s="1">
        <v>0.17</v>
      </c>
    </row>
    <row r="1682" spans="1:19" ht="15.75" customHeight="1" x14ac:dyDescent="0.25">
      <c r="A1682" s="2">
        <v>5444164</v>
      </c>
      <c r="B1682">
        <v>5444164</v>
      </c>
      <c r="C1682" t="str">
        <f>HYPERLINK("https://ois.dk/map/5444164/sfe", "Link")</f>
        <v>Link</v>
      </c>
      <c r="D1682" t="s">
        <v>2419</v>
      </c>
      <c r="E1682" s="17">
        <v>1.75</v>
      </c>
      <c r="F1682" t="s">
        <v>2420</v>
      </c>
      <c r="G1682">
        <v>0.5</v>
      </c>
      <c r="H1682">
        <v>0.25</v>
      </c>
      <c r="I1682">
        <v>1</v>
      </c>
      <c r="Q1682" s="1"/>
      <c r="R1682" s="1">
        <v>0.17</v>
      </c>
    </row>
    <row r="1683" spans="1:19" ht="15.75" customHeight="1" x14ac:dyDescent="0.25">
      <c r="A1683" s="2">
        <v>5444165</v>
      </c>
      <c r="B1683">
        <v>5444165</v>
      </c>
      <c r="C1683" t="str">
        <f>HYPERLINK("https://ois.dk/map/5444165/sfe", "Link")</f>
        <v>Link</v>
      </c>
      <c r="D1683" t="s">
        <v>2421</v>
      </c>
      <c r="E1683" s="17">
        <v>1.75</v>
      </c>
      <c r="F1683" t="s">
        <v>2422</v>
      </c>
      <c r="G1683">
        <v>0.5</v>
      </c>
      <c r="H1683">
        <v>0.25</v>
      </c>
      <c r="I1683">
        <v>1</v>
      </c>
      <c r="Q1683" s="1"/>
      <c r="R1683" s="1">
        <v>0.17</v>
      </c>
    </row>
    <row r="1684" spans="1:19" ht="15.75" customHeight="1" x14ac:dyDescent="0.25">
      <c r="A1684" s="2">
        <v>5444166</v>
      </c>
      <c r="B1684">
        <v>5444166</v>
      </c>
      <c r="C1684" t="str">
        <f>HYPERLINK("https://ois.dk/map/5444166/sfe", "Link")</f>
        <v>Link</v>
      </c>
      <c r="D1684" t="s">
        <v>2423</v>
      </c>
      <c r="E1684" s="17">
        <v>1.75</v>
      </c>
      <c r="F1684" t="s">
        <v>2424</v>
      </c>
      <c r="G1684">
        <v>0.5</v>
      </c>
      <c r="H1684">
        <v>0.25</v>
      </c>
      <c r="I1684">
        <v>1</v>
      </c>
      <c r="Q1684" s="1"/>
      <c r="R1684" s="1">
        <v>0.18</v>
      </c>
    </row>
    <row r="1685" spans="1:19" ht="15.75" customHeight="1" x14ac:dyDescent="0.25">
      <c r="A1685" s="2">
        <v>5444168</v>
      </c>
      <c r="B1685">
        <v>5444168</v>
      </c>
      <c r="C1685" t="str">
        <f>HYPERLINK("https://ois.dk/map/5444168/sfe", "Link")</f>
        <v>Link</v>
      </c>
      <c r="D1685" t="s">
        <v>187</v>
      </c>
      <c r="E1685" s="17">
        <v>0.5</v>
      </c>
      <c r="F1685" t="s">
        <v>2425</v>
      </c>
      <c r="G1685">
        <v>0.5</v>
      </c>
      <c r="Q1685" s="1"/>
      <c r="R1685" s="1"/>
    </row>
    <row r="1686" spans="1:19" ht="15.75" customHeight="1" x14ac:dyDescent="0.25">
      <c r="A1686" s="2">
        <v>5444169</v>
      </c>
      <c r="B1686">
        <v>5444169</v>
      </c>
      <c r="C1686" t="str">
        <f>HYPERLINK("https://ois.dk/map/5444169/sfe", "Link")</f>
        <v>Link</v>
      </c>
      <c r="D1686" t="s">
        <v>407</v>
      </c>
      <c r="E1686" s="17">
        <v>0.5</v>
      </c>
      <c r="F1686" t="s">
        <v>2426</v>
      </c>
      <c r="G1686">
        <v>0.5</v>
      </c>
      <c r="Q1686" s="1"/>
      <c r="R1686" s="1"/>
    </row>
    <row r="1687" spans="1:19" ht="15.75" customHeight="1" x14ac:dyDescent="0.25">
      <c r="A1687" s="2">
        <v>5444172</v>
      </c>
      <c r="B1687">
        <v>5444172</v>
      </c>
      <c r="C1687" t="str">
        <f>HYPERLINK("https://ois.dk/map/5444172/sfe", "Link")</f>
        <v>Link</v>
      </c>
      <c r="D1687" t="s">
        <v>2427</v>
      </c>
      <c r="E1687" s="17">
        <v>2.0499999999999998</v>
      </c>
      <c r="F1687" t="s">
        <v>2428</v>
      </c>
      <c r="G1687">
        <v>0.5</v>
      </c>
      <c r="H1687">
        <v>0.25</v>
      </c>
      <c r="I1687">
        <v>1</v>
      </c>
      <c r="J1687">
        <v>0.3</v>
      </c>
      <c r="Q1687" s="1"/>
      <c r="R1687" s="1">
        <v>0.8</v>
      </c>
      <c r="S1687">
        <v>0.93</v>
      </c>
    </row>
    <row r="1688" spans="1:19" ht="15.75" customHeight="1" x14ac:dyDescent="0.25">
      <c r="A1688" s="2">
        <v>5444176</v>
      </c>
      <c r="B1688">
        <v>5444176</v>
      </c>
      <c r="C1688" t="str">
        <f>HYPERLINK("https://ois.dk/map/5444176/sfe", "Link")</f>
        <v>Link</v>
      </c>
      <c r="D1688" t="s">
        <v>2429</v>
      </c>
      <c r="E1688" s="17">
        <v>2.0499999999999998</v>
      </c>
      <c r="F1688" t="s">
        <v>2430</v>
      </c>
      <c r="G1688">
        <v>0.5</v>
      </c>
      <c r="H1688">
        <v>0.25</v>
      </c>
      <c r="I1688">
        <v>1</v>
      </c>
      <c r="J1688">
        <v>0.3</v>
      </c>
      <c r="Q1688" s="1"/>
      <c r="R1688" s="1">
        <v>0.84</v>
      </c>
      <c r="S1688">
        <v>0.56000000000000005</v>
      </c>
    </row>
    <row r="1689" spans="1:19" ht="15.75" customHeight="1" x14ac:dyDescent="0.25">
      <c r="A1689" s="2">
        <v>5444177</v>
      </c>
      <c r="B1689">
        <v>5444177</v>
      </c>
      <c r="C1689" t="str">
        <f>HYPERLINK("https://ois.dk/map/5444177/sfe", "Link")</f>
        <v>Link</v>
      </c>
      <c r="D1689" t="s">
        <v>2431</v>
      </c>
      <c r="E1689" s="17">
        <v>2.0499999999999998</v>
      </c>
      <c r="F1689" t="s">
        <v>2432</v>
      </c>
      <c r="G1689">
        <v>0.5</v>
      </c>
      <c r="H1689">
        <v>0.25</v>
      </c>
      <c r="I1689">
        <v>1</v>
      </c>
      <c r="J1689">
        <v>0.3</v>
      </c>
      <c r="Q1689" s="1"/>
      <c r="R1689" s="1">
        <v>0.85</v>
      </c>
      <c r="S1689">
        <v>0.41</v>
      </c>
    </row>
    <row r="1690" spans="1:19" ht="15.75" customHeight="1" x14ac:dyDescent="0.25">
      <c r="A1690" s="2">
        <v>5444178</v>
      </c>
      <c r="B1690">
        <v>5444178</v>
      </c>
      <c r="C1690" t="str">
        <f>HYPERLINK("https://ois.dk/map/5444178/sfe", "Link")</f>
        <v>Link</v>
      </c>
      <c r="D1690" t="s">
        <v>2433</v>
      </c>
      <c r="E1690" s="17">
        <v>1.75</v>
      </c>
      <c r="F1690" t="s">
        <v>2434</v>
      </c>
      <c r="G1690">
        <v>0.5</v>
      </c>
      <c r="H1690">
        <v>0.25</v>
      </c>
      <c r="I1690">
        <v>1</v>
      </c>
      <c r="Q1690" s="1"/>
      <c r="R1690" s="1">
        <v>0.85</v>
      </c>
    </row>
    <row r="1691" spans="1:19" ht="15.75" customHeight="1" x14ac:dyDescent="0.25">
      <c r="A1691" s="2">
        <v>5444179</v>
      </c>
      <c r="B1691">
        <v>5444179</v>
      </c>
      <c r="C1691" t="str">
        <f>HYPERLINK("https://ois.dk/map/5444179/sfe", "Link")</f>
        <v>Link</v>
      </c>
      <c r="D1691" t="s">
        <v>2435</v>
      </c>
      <c r="E1691" s="17">
        <v>2.0499999999999998</v>
      </c>
      <c r="F1691" t="s">
        <v>2436</v>
      </c>
      <c r="G1691">
        <v>0.5</v>
      </c>
      <c r="H1691">
        <v>0.25</v>
      </c>
      <c r="I1691">
        <v>1</v>
      </c>
      <c r="J1691">
        <v>0.3</v>
      </c>
      <c r="Q1691" s="1"/>
      <c r="R1691" s="1">
        <v>0.81</v>
      </c>
      <c r="S1691">
        <v>0.71</v>
      </c>
    </row>
    <row r="1692" spans="1:19" ht="15.75" customHeight="1" x14ac:dyDescent="0.25">
      <c r="A1692" s="2">
        <v>5444180</v>
      </c>
      <c r="B1692">
        <v>5444180</v>
      </c>
      <c r="C1692" t="str">
        <f>HYPERLINK("https://ois.dk/map/5444180/sfe", "Link")</f>
        <v>Link</v>
      </c>
      <c r="D1692" t="s">
        <v>2437</v>
      </c>
      <c r="E1692" s="17">
        <v>1.75</v>
      </c>
      <c r="F1692" t="s">
        <v>2438</v>
      </c>
      <c r="G1692">
        <v>0.5</v>
      </c>
      <c r="H1692">
        <v>0.25</v>
      </c>
      <c r="I1692">
        <v>1</v>
      </c>
      <c r="Q1692" s="1"/>
      <c r="R1692" s="1">
        <v>0.82</v>
      </c>
    </row>
    <row r="1693" spans="1:19" ht="15.75" customHeight="1" x14ac:dyDescent="0.25">
      <c r="A1693" s="2">
        <v>5444181</v>
      </c>
      <c r="B1693">
        <v>5444181</v>
      </c>
      <c r="C1693" t="str">
        <f>HYPERLINK("https://ois.dk/map/5444181/sfe", "Link")</f>
        <v>Link</v>
      </c>
      <c r="D1693" t="s">
        <v>2439</v>
      </c>
      <c r="E1693" s="17">
        <v>1.75</v>
      </c>
      <c r="F1693" t="s">
        <v>2440</v>
      </c>
      <c r="G1693">
        <v>0.5</v>
      </c>
      <c r="H1693">
        <v>0.25</v>
      </c>
      <c r="I1693">
        <v>1</v>
      </c>
      <c r="Q1693" s="1"/>
      <c r="R1693" s="1">
        <v>0.91</v>
      </c>
    </row>
    <row r="1694" spans="1:19" ht="15.75" customHeight="1" x14ac:dyDescent="0.25">
      <c r="A1694" s="2">
        <v>5444182</v>
      </c>
      <c r="B1694">
        <v>5444182</v>
      </c>
      <c r="C1694" t="str">
        <f>HYPERLINK("https://ois.dk/map/5444182/sfe", "Link")</f>
        <v>Link</v>
      </c>
      <c r="D1694" t="s">
        <v>2441</v>
      </c>
      <c r="E1694" s="17">
        <v>1.75</v>
      </c>
      <c r="F1694" t="s">
        <v>2442</v>
      </c>
      <c r="G1694">
        <v>0.5</v>
      </c>
      <c r="H1694">
        <v>0.25</v>
      </c>
      <c r="I1694">
        <v>1</v>
      </c>
      <c r="Q1694" s="1"/>
      <c r="R1694" s="1">
        <v>0.95</v>
      </c>
    </row>
    <row r="1695" spans="1:19" ht="15.75" customHeight="1" x14ac:dyDescent="0.25">
      <c r="A1695" s="2">
        <v>5444183</v>
      </c>
      <c r="B1695">
        <v>5444183</v>
      </c>
      <c r="C1695" t="str">
        <f>HYPERLINK("https://ois.dk/map/5444183/sfe", "Link")</f>
        <v>Link</v>
      </c>
      <c r="D1695" t="s">
        <v>2443</v>
      </c>
      <c r="E1695" s="17">
        <v>1.75</v>
      </c>
      <c r="F1695" t="s">
        <v>2444</v>
      </c>
      <c r="G1695">
        <v>0.5</v>
      </c>
      <c r="H1695">
        <v>0.25</v>
      </c>
      <c r="I1695">
        <v>1</v>
      </c>
      <c r="Q1695" s="1"/>
      <c r="R1695" s="1">
        <v>0.83</v>
      </c>
    </row>
    <row r="1696" spans="1:19" ht="15.75" customHeight="1" x14ac:dyDescent="0.25">
      <c r="A1696" s="2">
        <v>5444184</v>
      </c>
      <c r="B1696">
        <v>5444184</v>
      </c>
      <c r="C1696" t="str">
        <f>HYPERLINK("https://ois.dk/map/5444184/sfe", "Link")</f>
        <v>Link</v>
      </c>
      <c r="D1696" t="s">
        <v>2445</v>
      </c>
      <c r="E1696" s="17">
        <v>1.75</v>
      </c>
      <c r="F1696" t="s">
        <v>2446</v>
      </c>
      <c r="G1696">
        <v>0.5</v>
      </c>
      <c r="H1696">
        <v>0.25</v>
      </c>
      <c r="I1696">
        <v>1</v>
      </c>
      <c r="Q1696" s="1"/>
      <c r="R1696" s="1">
        <v>0.77</v>
      </c>
    </row>
    <row r="1697" spans="1:19" ht="15.75" customHeight="1" x14ac:dyDescent="0.25">
      <c r="A1697" s="2">
        <v>5444185</v>
      </c>
      <c r="B1697">
        <v>5444185</v>
      </c>
      <c r="C1697" t="str">
        <f>HYPERLINK("https://ois.dk/map/5444185/sfe", "Link")</f>
        <v>Link</v>
      </c>
      <c r="D1697" t="s">
        <v>2447</v>
      </c>
      <c r="E1697" s="17">
        <v>1.75</v>
      </c>
      <c r="F1697" t="s">
        <v>2448</v>
      </c>
      <c r="G1697">
        <v>0.5</v>
      </c>
      <c r="H1697">
        <v>0.25</v>
      </c>
      <c r="I1697">
        <v>1</v>
      </c>
      <c r="Q1697" s="1"/>
      <c r="R1697" s="1">
        <v>0.69</v>
      </c>
    </row>
    <row r="1698" spans="1:19" ht="15.75" customHeight="1" x14ac:dyDescent="0.25">
      <c r="A1698" s="2">
        <v>5444186</v>
      </c>
      <c r="B1698">
        <v>5444186</v>
      </c>
      <c r="C1698" t="str">
        <f>HYPERLINK("https://ois.dk/map/5444186/sfe", "Link")</f>
        <v>Link</v>
      </c>
      <c r="D1698" t="s">
        <v>2449</v>
      </c>
      <c r="E1698" s="17">
        <v>2.0499999999999998</v>
      </c>
      <c r="F1698" t="s">
        <v>2450</v>
      </c>
      <c r="G1698">
        <v>0.5</v>
      </c>
      <c r="H1698">
        <v>0.25</v>
      </c>
      <c r="I1698">
        <v>1</v>
      </c>
      <c r="J1698">
        <v>0.3</v>
      </c>
      <c r="Q1698" s="1"/>
      <c r="R1698" s="1">
        <v>0.75</v>
      </c>
      <c r="S1698">
        <v>0.6</v>
      </c>
    </row>
    <row r="1699" spans="1:19" ht="15.75" customHeight="1" x14ac:dyDescent="0.25">
      <c r="A1699" s="2">
        <v>5444187</v>
      </c>
      <c r="B1699">
        <v>5444187</v>
      </c>
      <c r="C1699" t="str">
        <f>HYPERLINK("https://ois.dk/map/5444187/sfe", "Link")</f>
        <v>Link</v>
      </c>
      <c r="D1699" t="s">
        <v>2451</v>
      </c>
      <c r="E1699" s="17">
        <v>2.0499999999999998</v>
      </c>
      <c r="F1699" t="s">
        <v>2452</v>
      </c>
      <c r="G1699">
        <v>0.5</v>
      </c>
      <c r="H1699">
        <v>0.25</v>
      </c>
      <c r="I1699">
        <v>1</v>
      </c>
      <c r="J1699">
        <v>0.3</v>
      </c>
      <c r="Q1699" s="1"/>
      <c r="R1699" s="1">
        <v>0.9</v>
      </c>
      <c r="S1699">
        <v>0.77</v>
      </c>
    </row>
    <row r="1700" spans="1:19" ht="15.75" customHeight="1" x14ac:dyDescent="0.25">
      <c r="A1700" s="2">
        <v>5444188</v>
      </c>
      <c r="B1700">
        <v>5444188</v>
      </c>
      <c r="C1700" t="str">
        <f>HYPERLINK("https://ois.dk/map/5444188/sfe", "Link")</f>
        <v>Link</v>
      </c>
      <c r="D1700" t="s">
        <v>2453</v>
      </c>
      <c r="E1700" s="17">
        <v>1.75</v>
      </c>
      <c r="F1700" t="s">
        <v>2454</v>
      </c>
      <c r="G1700">
        <v>0.5</v>
      </c>
      <c r="H1700">
        <v>0.25</v>
      </c>
      <c r="I1700">
        <v>1</v>
      </c>
      <c r="Q1700" s="1"/>
      <c r="R1700" s="1">
        <v>1.18</v>
      </c>
    </row>
    <row r="1701" spans="1:19" ht="15.75" customHeight="1" x14ac:dyDescent="0.25">
      <c r="A1701" s="2">
        <v>5444189</v>
      </c>
      <c r="B1701">
        <v>5444189</v>
      </c>
      <c r="C1701" t="str">
        <f>HYPERLINK("https://ois.dk/map/5444189/sfe", "Link")</f>
        <v>Link</v>
      </c>
      <c r="D1701" t="s">
        <v>2455</v>
      </c>
      <c r="E1701" s="17">
        <v>1.75</v>
      </c>
      <c r="F1701" t="s">
        <v>2456</v>
      </c>
      <c r="G1701">
        <v>0.5</v>
      </c>
      <c r="H1701">
        <v>0.25</v>
      </c>
      <c r="I1701">
        <v>1</v>
      </c>
      <c r="Q1701" s="1"/>
      <c r="R1701" s="1">
        <v>1.17</v>
      </c>
    </row>
    <row r="1702" spans="1:19" ht="15.75" customHeight="1" x14ac:dyDescent="0.25">
      <c r="A1702" s="2">
        <v>5444190</v>
      </c>
      <c r="B1702">
        <v>5444190</v>
      </c>
      <c r="C1702" t="str">
        <f>HYPERLINK("https://ois.dk/map/5444190/sfe", "Link")</f>
        <v>Link</v>
      </c>
      <c r="D1702" t="s">
        <v>2457</v>
      </c>
      <c r="E1702" s="17">
        <v>1.75</v>
      </c>
      <c r="F1702" t="s">
        <v>2458</v>
      </c>
      <c r="G1702">
        <v>0.5</v>
      </c>
      <c r="H1702">
        <v>0.25</v>
      </c>
      <c r="I1702">
        <v>1</v>
      </c>
      <c r="Q1702" s="1"/>
      <c r="R1702" s="1">
        <v>1.18</v>
      </c>
    </row>
    <row r="1703" spans="1:19" ht="15.75" customHeight="1" x14ac:dyDescent="0.25">
      <c r="A1703" s="2">
        <v>5444191</v>
      </c>
      <c r="B1703">
        <v>5444191</v>
      </c>
      <c r="C1703" t="str">
        <f>HYPERLINK("https://ois.dk/map/5444191/sfe", "Link")</f>
        <v>Link</v>
      </c>
      <c r="D1703" t="s">
        <v>2459</v>
      </c>
      <c r="E1703" s="17">
        <v>1.75</v>
      </c>
      <c r="F1703" t="s">
        <v>2460</v>
      </c>
      <c r="G1703">
        <v>0.5</v>
      </c>
      <c r="H1703">
        <v>0.25</v>
      </c>
      <c r="I1703">
        <v>1</v>
      </c>
      <c r="Q1703" s="1"/>
      <c r="R1703" s="1">
        <v>0.99</v>
      </c>
    </row>
    <row r="1704" spans="1:19" ht="15.75" customHeight="1" x14ac:dyDescent="0.25">
      <c r="A1704" s="2">
        <v>5444192</v>
      </c>
      <c r="B1704">
        <v>5444192</v>
      </c>
      <c r="C1704" t="str">
        <f>HYPERLINK("https://ois.dk/map/5444192/sfe", "Link")</f>
        <v>Link</v>
      </c>
      <c r="D1704" t="s">
        <v>2461</v>
      </c>
      <c r="E1704" s="17">
        <v>2.0499999999999998</v>
      </c>
      <c r="F1704" t="s">
        <v>2462</v>
      </c>
      <c r="G1704">
        <v>0.5</v>
      </c>
      <c r="H1704">
        <v>0.25</v>
      </c>
      <c r="I1704">
        <v>1</v>
      </c>
      <c r="J1704">
        <v>0.3</v>
      </c>
      <c r="Q1704" s="1"/>
      <c r="R1704" s="1">
        <v>1.69</v>
      </c>
      <c r="S1704">
        <v>1.02</v>
      </c>
    </row>
    <row r="1705" spans="1:19" ht="15.75" customHeight="1" x14ac:dyDescent="0.25">
      <c r="A1705" s="2">
        <v>5444193</v>
      </c>
      <c r="B1705">
        <v>5444193</v>
      </c>
      <c r="C1705" t="str">
        <f>HYPERLINK("https://ois.dk/map/5444193/sfe", "Link")</f>
        <v>Link</v>
      </c>
      <c r="D1705" t="s">
        <v>2463</v>
      </c>
      <c r="E1705" s="17">
        <v>1.75</v>
      </c>
      <c r="F1705" t="s">
        <v>2464</v>
      </c>
      <c r="G1705">
        <v>0.5</v>
      </c>
      <c r="H1705">
        <v>0.25</v>
      </c>
      <c r="I1705">
        <v>1</v>
      </c>
      <c r="Q1705" s="1"/>
      <c r="R1705" s="1">
        <v>0.88</v>
      </c>
    </row>
    <row r="1706" spans="1:19" ht="15.75" customHeight="1" x14ac:dyDescent="0.25">
      <c r="A1706" s="2">
        <v>5444194</v>
      </c>
      <c r="B1706">
        <v>5444194</v>
      </c>
      <c r="C1706" t="str">
        <f>HYPERLINK("https://ois.dk/map/5444194/sfe", "Link")</f>
        <v>Link</v>
      </c>
      <c r="D1706" t="s">
        <v>2465</v>
      </c>
      <c r="E1706" s="17">
        <v>2.0499999999999998</v>
      </c>
      <c r="F1706" t="s">
        <v>2466</v>
      </c>
      <c r="G1706">
        <v>0.5</v>
      </c>
      <c r="H1706">
        <v>0.25</v>
      </c>
      <c r="I1706">
        <v>1</v>
      </c>
      <c r="J1706">
        <v>0.3</v>
      </c>
      <c r="Q1706" s="1"/>
      <c r="R1706" s="1">
        <v>1.39</v>
      </c>
      <c r="S1706">
        <v>0.67</v>
      </c>
    </row>
    <row r="1707" spans="1:19" ht="15.75" customHeight="1" x14ac:dyDescent="0.25">
      <c r="A1707" s="2">
        <v>5444195</v>
      </c>
      <c r="B1707">
        <v>5444195</v>
      </c>
      <c r="C1707" t="str">
        <f>HYPERLINK("https://ois.dk/map/5444195/sfe", "Link")</f>
        <v>Link</v>
      </c>
      <c r="D1707" t="s">
        <v>2467</v>
      </c>
      <c r="E1707" s="17">
        <v>1.75</v>
      </c>
      <c r="F1707" t="s">
        <v>2468</v>
      </c>
      <c r="G1707">
        <v>0.5</v>
      </c>
      <c r="H1707">
        <v>0.25</v>
      </c>
      <c r="I1707">
        <v>1</v>
      </c>
      <c r="Q1707" s="1"/>
      <c r="R1707" s="1">
        <v>0.96</v>
      </c>
    </row>
    <row r="1708" spans="1:19" ht="15.75" customHeight="1" x14ac:dyDescent="0.25">
      <c r="A1708" s="2">
        <v>5444196</v>
      </c>
      <c r="B1708">
        <v>5444196</v>
      </c>
      <c r="C1708" t="str">
        <f>HYPERLINK("https://ois.dk/map/5444196/sfe", "Link")</f>
        <v>Link</v>
      </c>
      <c r="D1708" t="s">
        <v>2469</v>
      </c>
      <c r="E1708" s="17">
        <v>1.75</v>
      </c>
      <c r="F1708" t="s">
        <v>2470</v>
      </c>
      <c r="G1708">
        <v>0.5</v>
      </c>
      <c r="H1708">
        <v>0.25</v>
      </c>
      <c r="I1708">
        <v>1</v>
      </c>
      <c r="Q1708" s="1"/>
      <c r="R1708" s="1">
        <v>0.84</v>
      </c>
    </row>
    <row r="1709" spans="1:19" ht="15.75" customHeight="1" x14ac:dyDescent="0.25">
      <c r="A1709" s="2">
        <v>5444197</v>
      </c>
      <c r="B1709">
        <v>5444197</v>
      </c>
      <c r="C1709" t="str">
        <f>HYPERLINK("https://ois.dk/map/5444197/sfe", "Link")</f>
        <v>Link</v>
      </c>
      <c r="D1709" t="s">
        <v>2471</v>
      </c>
      <c r="E1709" s="17">
        <v>1.75</v>
      </c>
      <c r="F1709" t="s">
        <v>2472</v>
      </c>
      <c r="G1709">
        <v>0.5</v>
      </c>
      <c r="H1709">
        <v>0.25</v>
      </c>
      <c r="I1709">
        <v>1</v>
      </c>
      <c r="Q1709" s="1"/>
      <c r="R1709" s="1">
        <v>0.6</v>
      </c>
    </row>
    <row r="1710" spans="1:19" ht="15.75" customHeight="1" x14ac:dyDescent="0.25">
      <c r="A1710" s="2">
        <v>5444198</v>
      </c>
      <c r="B1710">
        <v>5444198</v>
      </c>
      <c r="C1710" t="str">
        <f>HYPERLINK("https://ois.dk/map/5444198/sfe", "Link")</f>
        <v>Link</v>
      </c>
      <c r="D1710" t="s">
        <v>2473</v>
      </c>
      <c r="E1710" s="17">
        <v>1.75</v>
      </c>
      <c r="F1710" t="s">
        <v>2474</v>
      </c>
      <c r="G1710">
        <v>0.5</v>
      </c>
      <c r="H1710">
        <v>0.25</v>
      </c>
      <c r="I1710">
        <v>1</v>
      </c>
      <c r="Q1710" s="1"/>
      <c r="R1710" s="1">
        <v>0.73</v>
      </c>
    </row>
    <row r="1711" spans="1:19" ht="15.75" customHeight="1" x14ac:dyDescent="0.25">
      <c r="A1711" s="2">
        <v>5444199</v>
      </c>
      <c r="B1711">
        <v>5444199</v>
      </c>
      <c r="C1711" t="str">
        <f>HYPERLINK("https://ois.dk/map/5444199/sfe", "Link")</f>
        <v>Link</v>
      </c>
      <c r="D1711" t="s">
        <v>2475</v>
      </c>
      <c r="E1711" s="17">
        <v>1.75</v>
      </c>
      <c r="F1711" t="s">
        <v>2476</v>
      </c>
      <c r="G1711">
        <v>0.5</v>
      </c>
      <c r="H1711">
        <v>0.25</v>
      </c>
      <c r="I1711">
        <v>1</v>
      </c>
      <c r="Q1711" s="1"/>
      <c r="R1711" s="1">
        <v>0.76</v>
      </c>
    </row>
    <row r="1712" spans="1:19" ht="15.75" customHeight="1" x14ac:dyDescent="0.25">
      <c r="A1712" s="2">
        <v>5444200</v>
      </c>
      <c r="B1712">
        <v>5444200</v>
      </c>
      <c r="C1712" t="str">
        <f>HYPERLINK("https://ois.dk/map/5444200/sfe", "Link")</f>
        <v>Link</v>
      </c>
      <c r="D1712" t="s">
        <v>2477</v>
      </c>
      <c r="E1712" s="17">
        <v>1.75</v>
      </c>
      <c r="F1712" t="s">
        <v>2478</v>
      </c>
      <c r="G1712">
        <v>0.5</v>
      </c>
      <c r="H1712">
        <v>0.25</v>
      </c>
      <c r="I1712">
        <v>1</v>
      </c>
      <c r="Q1712" s="1"/>
      <c r="R1712" s="1">
        <v>0.81</v>
      </c>
    </row>
    <row r="1713" spans="1:18" ht="15.75" customHeight="1" x14ac:dyDescent="0.25">
      <c r="A1713" s="2">
        <v>5444201</v>
      </c>
      <c r="B1713">
        <v>5444201</v>
      </c>
      <c r="C1713" t="str">
        <f>HYPERLINK("https://ois.dk/map/5444201/sfe", "Link")</f>
        <v>Link</v>
      </c>
      <c r="D1713" t="s">
        <v>2479</v>
      </c>
      <c r="E1713" s="17">
        <v>1.75</v>
      </c>
      <c r="F1713" t="s">
        <v>2480</v>
      </c>
      <c r="G1713">
        <v>0.5</v>
      </c>
      <c r="H1713">
        <v>0.25</v>
      </c>
      <c r="I1713">
        <v>1</v>
      </c>
      <c r="Q1713" s="1"/>
      <c r="R1713" s="1">
        <v>0.9</v>
      </c>
    </row>
    <row r="1714" spans="1:18" ht="15.75" customHeight="1" x14ac:dyDescent="0.25">
      <c r="A1714" s="2">
        <v>5444202</v>
      </c>
      <c r="B1714">
        <v>5444202</v>
      </c>
      <c r="C1714" t="str">
        <f>HYPERLINK("https://ois.dk/map/5444202/sfe", "Link")</f>
        <v>Link</v>
      </c>
      <c r="D1714" t="s">
        <v>2481</v>
      </c>
      <c r="E1714" s="17">
        <v>1.75</v>
      </c>
      <c r="F1714" t="s">
        <v>2482</v>
      </c>
      <c r="G1714">
        <v>0.5</v>
      </c>
      <c r="H1714">
        <v>0.25</v>
      </c>
      <c r="I1714">
        <v>1</v>
      </c>
      <c r="Q1714" s="1"/>
      <c r="R1714" s="1">
        <v>0.87</v>
      </c>
    </row>
    <row r="1715" spans="1:18" ht="15.75" customHeight="1" x14ac:dyDescent="0.25">
      <c r="A1715" s="2">
        <v>5444203</v>
      </c>
      <c r="B1715">
        <v>5444203</v>
      </c>
      <c r="C1715" t="str">
        <f>HYPERLINK("https://ois.dk/map/5444203/sfe", "Link")</f>
        <v>Link</v>
      </c>
      <c r="D1715" t="s">
        <v>2483</v>
      </c>
      <c r="E1715" s="17">
        <v>1.75</v>
      </c>
      <c r="F1715" t="s">
        <v>2484</v>
      </c>
      <c r="G1715">
        <v>0.5</v>
      </c>
      <c r="H1715">
        <v>0.25</v>
      </c>
      <c r="I1715">
        <v>1</v>
      </c>
      <c r="Q1715" s="1"/>
      <c r="R1715" s="1">
        <v>0.87</v>
      </c>
    </row>
    <row r="1716" spans="1:18" ht="15.75" customHeight="1" x14ac:dyDescent="0.25">
      <c r="A1716" s="2">
        <v>5444204</v>
      </c>
      <c r="B1716">
        <v>5444204</v>
      </c>
      <c r="C1716" t="str">
        <f>HYPERLINK("https://ois.dk/map/5444204/sfe", "Link")</f>
        <v>Link</v>
      </c>
      <c r="D1716" t="s">
        <v>2485</v>
      </c>
      <c r="E1716" s="17">
        <v>1.75</v>
      </c>
      <c r="F1716" t="s">
        <v>2486</v>
      </c>
      <c r="G1716">
        <v>0.5</v>
      </c>
      <c r="H1716">
        <v>0.25</v>
      </c>
      <c r="I1716">
        <v>1</v>
      </c>
      <c r="Q1716" s="1"/>
      <c r="R1716" s="1">
        <v>0.78</v>
      </c>
    </row>
    <row r="1717" spans="1:18" ht="15.75" customHeight="1" x14ac:dyDescent="0.25">
      <c r="A1717" s="2">
        <v>5444205</v>
      </c>
      <c r="B1717">
        <v>5444205</v>
      </c>
      <c r="C1717" t="str">
        <f>HYPERLINK("https://ois.dk/map/5444205/sfe", "Link")</f>
        <v>Link</v>
      </c>
      <c r="D1717" t="s">
        <v>2487</v>
      </c>
      <c r="E1717" s="17">
        <v>1.75</v>
      </c>
      <c r="F1717" t="s">
        <v>2488</v>
      </c>
      <c r="G1717">
        <v>0.5</v>
      </c>
      <c r="H1717">
        <v>0.25</v>
      </c>
      <c r="I1717">
        <v>1</v>
      </c>
      <c r="Q1717" s="1"/>
      <c r="R1717" s="1">
        <v>0.56000000000000005</v>
      </c>
    </row>
    <row r="1718" spans="1:18" ht="15.75" customHeight="1" x14ac:dyDescent="0.25">
      <c r="A1718" s="2">
        <v>5444206</v>
      </c>
      <c r="B1718">
        <v>5444206</v>
      </c>
      <c r="C1718" t="str">
        <f>HYPERLINK("https://ois.dk/map/5444206/sfe", "Link")</f>
        <v>Link</v>
      </c>
      <c r="D1718" t="s">
        <v>2489</v>
      </c>
      <c r="E1718" s="17">
        <v>1.75</v>
      </c>
      <c r="F1718" t="s">
        <v>2490</v>
      </c>
      <c r="G1718">
        <v>0.5</v>
      </c>
      <c r="H1718">
        <v>0.25</v>
      </c>
      <c r="I1718">
        <v>1</v>
      </c>
      <c r="Q1718" s="1"/>
      <c r="R1718" s="1">
        <v>0.6</v>
      </c>
    </row>
    <row r="1719" spans="1:18" ht="15.75" customHeight="1" x14ac:dyDescent="0.25">
      <c r="A1719" s="2">
        <v>5444207</v>
      </c>
      <c r="B1719">
        <v>5444207</v>
      </c>
      <c r="C1719" t="str">
        <f>HYPERLINK("https://ois.dk/map/5444207/sfe", "Link")</f>
        <v>Link</v>
      </c>
      <c r="D1719" t="s">
        <v>2491</v>
      </c>
      <c r="E1719" s="17">
        <v>1.75</v>
      </c>
      <c r="F1719" t="s">
        <v>2492</v>
      </c>
      <c r="G1719">
        <v>0.5</v>
      </c>
      <c r="H1719">
        <v>0.25</v>
      </c>
      <c r="I1719">
        <v>1</v>
      </c>
      <c r="Q1719" s="1"/>
      <c r="R1719" s="1">
        <v>0.53</v>
      </c>
    </row>
    <row r="1720" spans="1:18" ht="15.75" customHeight="1" x14ac:dyDescent="0.25">
      <c r="A1720" s="2">
        <v>5444208</v>
      </c>
      <c r="B1720">
        <v>5444208</v>
      </c>
      <c r="C1720" t="str">
        <f>HYPERLINK("https://ois.dk/map/5444208/sfe", "Link")</f>
        <v>Link</v>
      </c>
      <c r="D1720" t="s">
        <v>2493</v>
      </c>
      <c r="E1720" s="17">
        <v>1.75</v>
      </c>
      <c r="F1720" t="s">
        <v>2494</v>
      </c>
      <c r="G1720">
        <v>0.5</v>
      </c>
      <c r="H1720">
        <v>0.25</v>
      </c>
      <c r="I1720">
        <v>1</v>
      </c>
      <c r="Q1720" s="1"/>
      <c r="R1720" s="1">
        <v>0.42</v>
      </c>
    </row>
    <row r="1721" spans="1:18" ht="15.75" customHeight="1" x14ac:dyDescent="0.25">
      <c r="A1721" s="2">
        <v>5444209</v>
      </c>
      <c r="B1721">
        <v>5444209</v>
      </c>
      <c r="C1721" t="str">
        <f>HYPERLINK("https://ois.dk/map/5444209/sfe", "Link")</f>
        <v>Link</v>
      </c>
      <c r="D1721" t="s">
        <v>2495</v>
      </c>
      <c r="E1721" s="17">
        <v>1.75</v>
      </c>
      <c r="F1721" t="s">
        <v>2496</v>
      </c>
      <c r="G1721">
        <v>0.5</v>
      </c>
      <c r="H1721">
        <v>0.25</v>
      </c>
      <c r="I1721">
        <v>1</v>
      </c>
      <c r="Q1721" s="1"/>
      <c r="R1721" s="1">
        <v>0.25</v>
      </c>
    </row>
    <row r="1722" spans="1:18" ht="15.75" customHeight="1" x14ac:dyDescent="0.25">
      <c r="A1722" s="2">
        <v>5444210</v>
      </c>
      <c r="B1722">
        <v>5444210</v>
      </c>
      <c r="C1722" t="str">
        <f t="shared" ref="C1722:C1734" si="45">HYPERLINK("https://ois.dk/map/5444210/sfe", "Link")</f>
        <v>Link</v>
      </c>
      <c r="D1722" t="s">
        <v>2497</v>
      </c>
      <c r="E1722" s="17">
        <v>0.25</v>
      </c>
      <c r="F1722" t="s">
        <v>2498</v>
      </c>
      <c r="H1722">
        <v>0.25</v>
      </c>
      <c r="Q1722" s="1"/>
      <c r="R1722" s="1">
        <v>0.52</v>
      </c>
    </row>
    <row r="1723" spans="1:18" ht="15.75" customHeight="1" x14ac:dyDescent="0.25">
      <c r="A1723" s="2">
        <v>5444210</v>
      </c>
      <c r="B1723">
        <v>5444210</v>
      </c>
      <c r="C1723" t="str">
        <f t="shared" si="45"/>
        <v>Link</v>
      </c>
      <c r="D1723" t="s">
        <v>2497</v>
      </c>
      <c r="E1723" s="17">
        <v>1.5</v>
      </c>
      <c r="F1723" t="s">
        <v>2498</v>
      </c>
      <c r="G1723">
        <v>0.5</v>
      </c>
      <c r="I1723">
        <v>1</v>
      </c>
      <c r="Q1723" s="1"/>
      <c r="R1723" s="1">
        <v>0.75</v>
      </c>
    </row>
    <row r="1724" spans="1:18" ht="15.75" customHeight="1" x14ac:dyDescent="0.25">
      <c r="A1724" s="2">
        <v>5444210</v>
      </c>
      <c r="B1724">
        <v>5444210</v>
      </c>
      <c r="C1724" t="str">
        <f t="shared" si="45"/>
        <v>Link</v>
      </c>
      <c r="D1724" t="s">
        <v>2497</v>
      </c>
      <c r="E1724" s="17">
        <v>1.5</v>
      </c>
      <c r="F1724" t="s">
        <v>2499</v>
      </c>
      <c r="G1724">
        <v>0.5</v>
      </c>
      <c r="I1724">
        <v>1</v>
      </c>
      <c r="Q1724" s="1"/>
      <c r="R1724" s="1">
        <v>0.52</v>
      </c>
    </row>
    <row r="1725" spans="1:18" ht="15.75" customHeight="1" x14ac:dyDescent="0.25">
      <c r="A1725" s="2">
        <v>5444210</v>
      </c>
      <c r="B1725">
        <v>5444210</v>
      </c>
      <c r="C1725" t="str">
        <f t="shared" si="45"/>
        <v>Link</v>
      </c>
      <c r="D1725" t="s">
        <v>2497</v>
      </c>
      <c r="E1725" s="17">
        <v>1.5</v>
      </c>
      <c r="F1725" t="s">
        <v>2500</v>
      </c>
      <c r="G1725">
        <v>0.5</v>
      </c>
      <c r="I1725">
        <v>1</v>
      </c>
      <c r="Q1725" s="1"/>
      <c r="R1725" s="1">
        <v>0.54</v>
      </c>
    </row>
    <row r="1726" spans="1:18" ht="15.75" customHeight="1" x14ac:dyDescent="0.25">
      <c r="A1726" s="2">
        <v>5444210</v>
      </c>
      <c r="B1726">
        <v>5444210</v>
      </c>
      <c r="C1726" t="str">
        <f t="shared" si="45"/>
        <v>Link</v>
      </c>
      <c r="D1726" t="s">
        <v>2497</v>
      </c>
      <c r="E1726" s="17">
        <v>1.5</v>
      </c>
      <c r="F1726" t="s">
        <v>2501</v>
      </c>
      <c r="G1726">
        <v>0.5</v>
      </c>
      <c r="I1726">
        <v>1</v>
      </c>
      <c r="Q1726" s="1"/>
      <c r="R1726" s="1">
        <v>0.54</v>
      </c>
    </row>
    <row r="1727" spans="1:18" ht="15.75" customHeight="1" x14ac:dyDescent="0.25">
      <c r="A1727" s="2">
        <v>5444210</v>
      </c>
      <c r="B1727">
        <v>5444210</v>
      </c>
      <c r="C1727" t="str">
        <f t="shared" si="45"/>
        <v>Link</v>
      </c>
      <c r="D1727" t="s">
        <v>2497</v>
      </c>
      <c r="E1727" s="17">
        <v>1.5</v>
      </c>
      <c r="F1727" t="s">
        <v>2502</v>
      </c>
      <c r="G1727">
        <v>0.5</v>
      </c>
      <c r="I1727">
        <v>1</v>
      </c>
      <c r="Q1727" s="1"/>
      <c r="R1727" s="1">
        <v>0.65</v>
      </c>
    </row>
    <row r="1728" spans="1:18" ht="15.75" customHeight="1" x14ac:dyDescent="0.25">
      <c r="A1728" s="2">
        <v>5444210</v>
      </c>
      <c r="B1728">
        <v>5444210</v>
      </c>
      <c r="C1728" t="str">
        <f t="shared" si="45"/>
        <v>Link</v>
      </c>
      <c r="D1728" t="s">
        <v>2497</v>
      </c>
      <c r="E1728" s="17">
        <v>1.5</v>
      </c>
      <c r="F1728" t="s">
        <v>2503</v>
      </c>
      <c r="G1728">
        <v>0.5</v>
      </c>
      <c r="I1728">
        <v>1</v>
      </c>
      <c r="Q1728" s="1"/>
      <c r="R1728" s="1">
        <v>0.65</v>
      </c>
    </row>
    <row r="1729" spans="1:18" ht="15.75" customHeight="1" x14ac:dyDescent="0.25">
      <c r="A1729" s="2">
        <v>5444210</v>
      </c>
      <c r="B1729">
        <v>5444210</v>
      </c>
      <c r="C1729" t="str">
        <f t="shared" si="45"/>
        <v>Link</v>
      </c>
      <c r="D1729" t="s">
        <v>2497</v>
      </c>
      <c r="E1729" s="17">
        <v>1.5</v>
      </c>
      <c r="F1729" t="s">
        <v>2504</v>
      </c>
      <c r="G1729">
        <v>0.5</v>
      </c>
      <c r="I1729">
        <v>1</v>
      </c>
      <c r="Q1729" s="1"/>
      <c r="R1729" s="1">
        <v>0.73</v>
      </c>
    </row>
    <row r="1730" spans="1:18" ht="15.75" customHeight="1" x14ac:dyDescent="0.25">
      <c r="A1730" s="2">
        <v>5444210</v>
      </c>
      <c r="B1730">
        <v>5444210</v>
      </c>
      <c r="C1730" t="str">
        <f t="shared" si="45"/>
        <v>Link</v>
      </c>
      <c r="D1730" t="s">
        <v>2497</v>
      </c>
      <c r="E1730" s="17">
        <v>1.5</v>
      </c>
      <c r="F1730" t="s">
        <v>2505</v>
      </c>
      <c r="G1730">
        <v>0.5</v>
      </c>
      <c r="I1730">
        <v>1</v>
      </c>
      <c r="Q1730" s="1"/>
      <c r="R1730" s="1">
        <v>0.73</v>
      </c>
    </row>
    <row r="1731" spans="1:18" ht="15.75" customHeight="1" x14ac:dyDescent="0.25">
      <c r="A1731" s="2">
        <v>5444210</v>
      </c>
      <c r="B1731">
        <v>5444210</v>
      </c>
      <c r="C1731" t="str">
        <f t="shared" si="45"/>
        <v>Link</v>
      </c>
      <c r="D1731" t="s">
        <v>2497</v>
      </c>
      <c r="E1731" s="17">
        <v>1.5</v>
      </c>
      <c r="F1731" t="s">
        <v>2506</v>
      </c>
      <c r="G1731">
        <v>0.5</v>
      </c>
      <c r="I1731">
        <v>1</v>
      </c>
      <c r="Q1731" s="1"/>
      <c r="R1731" s="1">
        <v>0.75</v>
      </c>
    </row>
    <row r="1732" spans="1:18" ht="15.75" customHeight="1" x14ac:dyDescent="0.25">
      <c r="A1732" s="2">
        <v>5444210</v>
      </c>
      <c r="B1732">
        <v>5444210</v>
      </c>
      <c r="C1732" t="str">
        <f t="shared" si="45"/>
        <v>Link</v>
      </c>
      <c r="D1732" t="s">
        <v>2497</v>
      </c>
      <c r="E1732" s="17">
        <v>1.5</v>
      </c>
      <c r="F1732" t="s">
        <v>2507</v>
      </c>
      <c r="G1732">
        <v>0.5</v>
      </c>
      <c r="I1732">
        <v>1</v>
      </c>
      <c r="Q1732" s="1"/>
      <c r="R1732" s="1">
        <v>0.62</v>
      </c>
    </row>
    <row r="1733" spans="1:18" ht="15.75" customHeight="1" x14ac:dyDescent="0.25">
      <c r="A1733" s="2">
        <v>5444210</v>
      </c>
      <c r="B1733">
        <v>5444210</v>
      </c>
      <c r="C1733" t="str">
        <f t="shared" si="45"/>
        <v>Link</v>
      </c>
      <c r="D1733" t="s">
        <v>2497</v>
      </c>
      <c r="E1733" s="17">
        <v>1.5</v>
      </c>
      <c r="F1733" t="s">
        <v>2508</v>
      </c>
      <c r="G1733">
        <v>0.5</v>
      </c>
      <c r="I1733">
        <v>1</v>
      </c>
      <c r="Q1733" s="1"/>
      <c r="R1733" s="1">
        <v>0.62</v>
      </c>
    </row>
    <row r="1734" spans="1:18" ht="15.75" customHeight="1" x14ac:dyDescent="0.25">
      <c r="A1734" s="2">
        <v>5444210</v>
      </c>
      <c r="B1734">
        <v>5444210</v>
      </c>
      <c r="C1734" t="str">
        <f t="shared" si="45"/>
        <v>Link</v>
      </c>
      <c r="D1734" t="s">
        <v>2497</v>
      </c>
      <c r="E1734" s="17">
        <v>1.5</v>
      </c>
      <c r="F1734" t="s">
        <v>2509</v>
      </c>
      <c r="G1734">
        <v>0.5</v>
      </c>
      <c r="I1734">
        <v>1</v>
      </c>
      <c r="Q1734" s="1"/>
      <c r="R1734" s="1">
        <v>0.52</v>
      </c>
    </row>
    <row r="1735" spans="1:18" ht="15.75" customHeight="1" x14ac:dyDescent="0.25">
      <c r="A1735" s="2">
        <v>5444211</v>
      </c>
      <c r="B1735">
        <v>5444211</v>
      </c>
      <c r="C1735" t="str">
        <f t="shared" ref="C1735:C1754" si="46">HYPERLINK("https://ois.dk/map/5444211/sfe", "Link")</f>
        <v>Link</v>
      </c>
      <c r="D1735" t="s">
        <v>2510</v>
      </c>
      <c r="E1735" s="17">
        <v>0.25</v>
      </c>
      <c r="F1735" t="s">
        <v>2511</v>
      </c>
      <c r="H1735">
        <v>0.25</v>
      </c>
      <c r="Q1735" s="1"/>
      <c r="R1735" s="1">
        <v>0.47</v>
      </c>
    </row>
    <row r="1736" spans="1:18" ht="15.75" customHeight="1" x14ac:dyDescent="0.25">
      <c r="A1736" s="2">
        <v>5444211</v>
      </c>
      <c r="B1736">
        <v>5444211</v>
      </c>
      <c r="C1736" t="str">
        <f t="shared" si="46"/>
        <v>Link</v>
      </c>
      <c r="D1736" t="s">
        <v>2510</v>
      </c>
      <c r="E1736" s="17">
        <v>1.5</v>
      </c>
      <c r="F1736" t="s">
        <v>2512</v>
      </c>
      <c r="G1736">
        <v>0.5</v>
      </c>
      <c r="I1736">
        <v>1</v>
      </c>
      <c r="Q1736" s="1"/>
      <c r="R1736" s="1">
        <v>0.47</v>
      </c>
    </row>
    <row r="1737" spans="1:18" ht="15.75" customHeight="1" x14ac:dyDescent="0.25">
      <c r="A1737" s="2">
        <v>5444211</v>
      </c>
      <c r="B1737">
        <v>5444211</v>
      </c>
      <c r="C1737" t="str">
        <f t="shared" si="46"/>
        <v>Link</v>
      </c>
      <c r="D1737" t="s">
        <v>2510</v>
      </c>
      <c r="E1737" s="17">
        <v>1.5</v>
      </c>
      <c r="F1737" t="s">
        <v>2513</v>
      </c>
      <c r="G1737">
        <v>0.5</v>
      </c>
      <c r="I1737">
        <v>1</v>
      </c>
      <c r="Q1737" s="1"/>
      <c r="R1737" s="1">
        <v>0.47</v>
      </c>
    </row>
    <row r="1738" spans="1:18" ht="15.75" customHeight="1" x14ac:dyDescent="0.25">
      <c r="A1738" s="2">
        <v>5444211</v>
      </c>
      <c r="B1738">
        <v>5444211</v>
      </c>
      <c r="C1738" t="str">
        <f t="shared" si="46"/>
        <v>Link</v>
      </c>
      <c r="D1738" t="s">
        <v>2510</v>
      </c>
      <c r="E1738" s="17">
        <v>1.5</v>
      </c>
      <c r="F1738" t="s">
        <v>2514</v>
      </c>
      <c r="G1738">
        <v>0.5</v>
      </c>
      <c r="I1738">
        <v>1</v>
      </c>
      <c r="Q1738" s="1"/>
      <c r="R1738" s="1">
        <v>0.47</v>
      </c>
    </row>
    <row r="1739" spans="1:18" ht="15.75" customHeight="1" x14ac:dyDescent="0.25">
      <c r="A1739" s="2">
        <v>5444211</v>
      </c>
      <c r="B1739">
        <v>5444211</v>
      </c>
      <c r="C1739" t="str">
        <f t="shared" si="46"/>
        <v>Link</v>
      </c>
      <c r="D1739" t="s">
        <v>2510</v>
      </c>
      <c r="E1739" s="17">
        <v>1.5</v>
      </c>
      <c r="F1739" t="s">
        <v>2515</v>
      </c>
      <c r="G1739">
        <v>0.5</v>
      </c>
      <c r="I1739">
        <v>1</v>
      </c>
      <c r="Q1739" s="1"/>
      <c r="R1739" s="1">
        <v>0.47</v>
      </c>
    </row>
    <row r="1740" spans="1:18" ht="15.75" customHeight="1" x14ac:dyDescent="0.25">
      <c r="A1740" s="2">
        <v>5444211</v>
      </c>
      <c r="B1740">
        <v>5444211</v>
      </c>
      <c r="C1740" t="str">
        <f t="shared" si="46"/>
        <v>Link</v>
      </c>
      <c r="D1740" t="s">
        <v>2510</v>
      </c>
      <c r="E1740" s="17">
        <v>1.5</v>
      </c>
      <c r="F1740" t="s">
        <v>2516</v>
      </c>
      <c r="G1740">
        <v>0.5</v>
      </c>
      <c r="I1740">
        <v>1</v>
      </c>
      <c r="Q1740" s="1"/>
      <c r="R1740" s="1">
        <v>0.47</v>
      </c>
    </row>
    <row r="1741" spans="1:18" ht="15.75" customHeight="1" x14ac:dyDescent="0.25">
      <c r="A1741" s="2">
        <v>5444211</v>
      </c>
      <c r="B1741">
        <v>5444211</v>
      </c>
      <c r="C1741" t="str">
        <f t="shared" si="46"/>
        <v>Link</v>
      </c>
      <c r="D1741" t="s">
        <v>2510</v>
      </c>
      <c r="E1741" s="17">
        <v>1.5</v>
      </c>
      <c r="F1741" t="s">
        <v>2511</v>
      </c>
      <c r="G1741">
        <v>0.5</v>
      </c>
      <c r="I1741">
        <v>1</v>
      </c>
      <c r="Q1741" s="1"/>
      <c r="R1741" s="1">
        <v>0.82</v>
      </c>
    </row>
    <row r="1742" spans="1:18" ht="15.75" customHeight="1" x14ac:dyDescent="0.25">
      <c r="A1742" s="2">
        <v>5444211</v>
      </c>
      <c r="B1742">
        <v>5444211</v>
      </c>
      <c r="C1742" t="str">
        <f t="shared" si="46"/>
        <v>Link</v>
      </c>
      <c r="D1742" t="s">
        <v>2510</v>
      </c>
      <c r="E1742" s="17">
        <v>1.5</v>
      </c>
      <c r="F1742" t="s">
        <v>2517</v>
      </c>
      <c r="G1742">
        <v>0.5</v>
      </c>
      <c r="I1742">
        <v>1</v>
      </c>
      <c r="Q1742" s="1"/>
      <c r="R1742" s="1">
        <v>0.82</v>
      </c>
    </row>
    <row r="1743" spans="1:18" ht="15.75" customHeight="1" x14ac:dyDescent="0.25">
      <c r="A1743" s="2">
        <v>5444211</v>
      </c>
      <c r="B1743">
        <v>5444211</v>
      </c>
      <c r="C1743" t="str">
        <f t="shared" si="46"/>
        <v>Link</v>
      </c>
      <c r="D1743" t="s">
        <v>2510</v>
      </c>
      <c r="E1743" s="17">
        <v>1.5</v>
      </c>
      <c r="F1743" t="s">
        <v>2518</v>
      </c>
      <c r="G1743">
        <v>0.5</v>
      </c>
      <c r="I1743">
        <v>1</v>
      </c>
      <c r="Q1743" s="1"/>
      <c r="R1743" s="1">
        <v>0.82</v>
      </c>
    </row>
    <row r="1744" spans="1:18" ht="15.75" customHeight="1" x14ac:dyDescent="0.25">
      <c r="A1744" s="2">
        <v>5444211</v>
      </c>
      <c r="B1744">
        <v>5444211</v>
      </c>
      <c r="C1744" t="str">
        <f t="shared" si="46"/>
        <v>Link</v>
      </c>
      <c r="D1744" t="s">
        <v>2510</v>
      </c>
      <c r="E1744" s="17">
        <v>1.5</v>
      </c>
      <c r="F1744" t="s">
        <v>2519</v>
      </c>
      <c r="G1744">
        <v>0.5</v>
      </c>
      <c r="I1744">
        <v>1</v>
      </c>
      <c r="Q1744" s="1"/>
      <c r="R1744" s="1">
        <v>0.82</v>
      </c>
    </row>
    <row r="1745" spans="1:18" ht="15.75" customHeight="1" x14ac:dyDescent="0.25">
      <c r="A1745" s="2">
        <v>5444211</v>
      </c>
      <c r="B1745">
        <v>5444211</v>
      </c>
      <c r="C1745" t="str">
        <f t="shared" si="46"/>
        <v>Link</v>
      </c>
      <c r="D1745" t="s">
        <v>2510</v>
      </c>
      <c r="E1745" s="17">
        <v>1.5</v>
      </c>
      <c r="F1745" t="s">
        <v>2520</v>
      </c>
      <c r="G1745">
        <v>0.5</v>
      </c>
      <c r="I1745">
        <v>1</v>
      </c>
      <c r="Q1745" s="1"/>
      <c r="R1745" s="1">
        <v>0.82</v>
      </c>
    </row>
    <row r="1746" spans="1:18" ht="15.75" customHeight="1" x14ac:dyDescent="0.25">
      <c r="A1746" s="2">
        <v>5444211</v>
      </c>
      <c r="B1746">
        <v>5444211</v>
      </c>
      <c r="C1746" t="str">
        <f t="shared" si="46"/>
        <v>Link</v>
      </c>
      <c r="D1746" t="s">
        <v>2510</v>
      </c>
      <c r="E1746" s="17">
        <v>1.5</v>
      </c>
      <c r="F1746" t="s">
        <v>2521</v>
      </c>
      <c r="G1746">
        <v>0.5</v>
      </c>
      <c r="I1746">
        <v>1</v>
      </c>
      <c r="Q1746" s="1"/>
      <c r="R1746" s="1">
        <v>0.65</v>
      </c>
    </row>
    <row r="1747" spans="1:18" ht="15.75" customHeight="1" x14ac:dyDescent="0.25">
      <c r="A1747" s="2">
        <v>5444211</v>
      </c>
      <c r="B1747">
        <v>5444211</v>
      </c>
      <c r="C1747" t="str">
        <f t="shared" si="46"/>
        <v>Link</v>
      </c>
      <c r="D1747" t="s">
        <v>2510</v>
      </c>
      <c r="E1747" s="17">
        <v>1.5</v>
      </c>
      <c r="F1747" t="s">
        <v>2522</v>
      </c>
      <c r="G1747">
        <v>0.5</v>
      </c>
      <c r="I1747">
        <v>1</v>
      </c>
      <c r="Q1747" s="1"/>
      <c r="R1747" s="1">
        <v>0.55000000000000004</v>
      </c>
    </row>
    <row r="1748" spans="1:18" ht="15.75" customHeight="1" x14ac:dyDescent="0.25">
      <c r="A1748" s="2">
        <v>5444211</v>
      </c>
      <c r="B1748">
        <v>5444211</v>
      </c>
      <c r="C1748" t="str">
        <f t="shared" si="46"/>
        <v>Link</v>
      </c>
      <c r="D1748" t="s">
        <v>2510</v>
      </c>
      <c r="E1748" s="17">
        <v>1.5</v>
      </c>
      <c r="F1748" t="s">
        <v>2523</v>
      </c>
      <c r="G1748">
        <v>0.5</v>
      </c>
      <c r="I1748">
        <v>1</v>
      </c>
      <c r="Q1748" s="1"/>
      <c r="R1748" s="1">
        <v>0.55000000000000004</v>
      </c>
    </row>
    <row r="1749" spans="1:18" ht="15.75" customHeight="1" x14ac:dyDescent="0.25">
      <c r="A1749" s="2">
        <v>5444211</v>
      </c>
      <c r="B1749">
        <v>5444211</v>
      </c>
      <c r="C1749" t="str">
        <f t="shared" si="46"/>
        <v>Link</v>
      </c>
      <c r="D1749" t="s">
        <v>2510</v>
      </c>
      <c r="E1749" s="17">
        <v>1.5</v>
      </c>
      <c r="F1749" t="s">
        <v>2524</v>
      </c>
      <c r="G1749">
        <v>0.5</v>
      </c>
      <c r="I1749">
        <v>1</v>
      </c>
      <c r="Q1749" s="1"/>
      <c r="R1749" s="1">
        <v>0.55000000000000004</v>
      </c>
    </row>
    <row r="1750" spans="1:18" ht="15.75" customHeight="1" x14ac:dyDescent="0.25">
      <c r="A1750" s="2">
        <v>5444211</v>
      </c>
      <c r="B1750">
        <v>5444211</v>
      </c>
      <c r="C1750" t="str">
        <f t="shared" si="46"/>
        <v>Link</v>
      </c>
      <c r="D1750" t="s">
        <v>2510</v>
      </c>
      <c r="E1750" s="17">
        <v>1.5</v>
      </c>
      <c r="F1750" t="s">
        <v>2525</v>
      </c>
      <c r="G1750">
        <v>0.5</v>
      </c>
      <c r="I1750">
        <v>1</v>
      </c>
      <c r="Q1750" s="1"/>
      <c r="R1750" s="1">
        <v>0.55000000000000004</v>
      </c>
    </row>
    <row r="1751" spans="1:18" ht="15.75" customHeight="1" x14ac:dyDescent="0.25">
      <c r="A1751" s="2">
        <v>5444211</v>
      </c>
      <c r="B1751">
        <v>5444211</v>
      </c>
      <c r="C1751" t="str">
        <f t="shared" si="46"/>
        <v>Link</v>
      </c>
      <c r="D1751" t="s">
        <v>2510</v>
      </c>
      <c r="E1751" s="17">
        <v>1.5</v>
      </c>
      <c r="F1751" t="s">
        <v>2526</v>
      </c>
      <c r="G1751">
        <v>0.5</v>
      </c>
      <c r="I1751">
        <v>1</v>
      </c>
      <c r="Q1751" s="1"/>
      <c r="R1751" s="1">
        <v>0.65</v>
      </c>
    </row>
    <row r="1752" spans="1:18" ht="15.75" customHeight="1" x14ac:dyDescent="0.25">
      <c r="A1752" s="2">
        <v>5444211</v>
      </c>
      <c r="B1752">
        <v>5444211</v>
      </c>
      <c r="C1752" t="str">
        <f t="shared" si="46"/>
        <v>Link</v>
      </c>
      <c r="D1752" t="s">
        <v>2510</v>
      </c>
      <c r="E1752" s="17">
        <v>1.5</v>
      </c>
      <c r="F1752" t="s">
        <v>2527</v>
      </c>
      <c r="G1752">
        <v>0.5</v>
      </c>
      <c r="I1752">
        <v>1</v>
      </c>
      <c r="Q1752" s="1"/>
      <c r="R1752" s="1">
        <v>0.65</v>
      </c>
    </row>
    <row r="1753" spans="1:18" ht="15.75" customHeight="1" x14ac:dyDescent="0.25">
      <c r="A1753" s="2">
        <v>5444211</v>
      </c>
      <c r="B1753">
        <v>5444211</v>
      </c>
      <c r="C1753" t="str">
        <f t="shared" si="46"/>
        <v>Link</v>
      </c>
      <c r="D1753" t="s">
        <v>2510</v>
      </c>
      <c r="E1753" s="17">
        <v>1.5</v>
      </c>
      <c r="F1753" t="s">
        <v>2528</v>
      </c>
      <c r="G1753">
        <v>0.5</v>
      </c>
      <c r="I1753">
        <v>1</v>
      </c>
      <c r="Q1753" s="1"/>
      <c r="R1753" s="1">
        <v>0.65</v>
      </c>
    </row>
    <row r="1754" spans="1:18" ht="15.75" customHeight="1" x14ac:dyDescent="0.25">
      <c r="A1754" s="2">
        <v>5444211</v>
      </c>
      <c r="B1754">
        <v>5444211</v>
      </c>
      <c r="C1754" t="str">
        <f t="shared" si="46"/>
        <v>Link</v>
      </c>
      <c r="D1754" t="s">
        <v>2510</v>
      </c>
      <c r="E1754" s="17">
        <v>1.5</v>
      </c>
      <c r="F1754" t="s">
        <v>2529</v>
      </c>
      <c r="G1754">
        <v>0.5</v>
      </c>
      <c r="I1754">
        <v>1</v>
      </c>
      <c r="Q1754" s="1"/>
      <c r="R1754" s="1">
        <v>0.55000000000000004</v>
      </c>
    </row>
    <row r="1755" spans="1:18" ht="15.75" customHeight="1" x14ac:dyDescent="0.25">
      <c r="A1755" s="2">
        <v>5444213</v>
      </c>
      <c r="B1755">
        <v>5444213</v>
      </c>
      <c r="C1755" t="str">
        <f>HYPERLINK("https://ois.dk/map/5444213/sfe", "Link")</f>
        <v>Link</v>
      </c>
      <c r="D1755" t="s">
        <v>2530</v>
      </c>
      <c r="E1755" s="17">
        <v>1.75</v>
      </c>
      <c r="F1755" t="s">
        <v>2531</v>
      </c>
      <c r="G1755">
        <v>0.5</v>
      </c>
      <c r="H1755">
        <v>0.25</v>
      </c>
      <c r="I1755">
        <v>1</v>
      </c>
      <c r="Q1755" s="1"/>
      <c r="R1755" s="1">
        <v>1.63</v>
      </c>
    </row>
    <row r="1756" spans="1:18" ht="15.75" customHeight="1" x14ac:dyDescent="0.25">
      <c r="A1756" s="2">
        <v>5444214</v>
      </c>
      <c r="B1756">
        <v>5444214</v>
      </c>
      <c r="C1756" t="str">
        <f>HYPERLINK("https://ois.dk/map/5444214/sfe", "Link")</f>
        <v>Link</v>
      </c>
      <c r="D1756" t="s">
        <v>419</v>
      </c>
      <c r="E1756" s="17">
        <v>0.5</v>
      </c>
      <c r="F1756" t="s">
        <v>2532</v>
      </c>
      <c r="G1756">
        <v>0.5</v>
      </c>
      <c r="Q1756" s="1"/>
      <c r="R1756" s="1"/>
    </row>
    <row r="1757" spans="1:18" ht="15.75" customHeight="1" x14ac:dyDescent="0.25">
      <c r="A1757" s="2">
        <v>5444215</v>
      </c>
      <c r="B1757">
        <v>5444215</v>
      </c>
      <c r="C1757" t="str">
        <f>HYPERLINK("https://ois.dk/map/5444215/sfe", "Link")</f>
        <v>Link</v>
      </c>
      <c r="D1757" t="s">
        <v>189</v>
      </c>
      <c r="E1757" s="17">
        <v>0.5</v>
      </c>
      <c r="F1757" t="s">
        <v>2533</v>
      </c>
      <c r="G1757">
        <v>0.5</v>
      </c>
      <c r="Q1757" s="1"/>
      <c r="R1757" s="1"/>
    </row>
    <row r="1758" spans="1:18" ht="15.75" customHeight="1" x14ac:dyDescent="0.25">
      <c r="A1758" s="2">
        <v>5444218</v>
      </c>
      <c r="B1758">
        <v>5444218</v>
      </c>
      <c r="C1758" t="str">
        <f>HYPERLINK("https://ois.dk/map/5444218/sfe", "Link")</f>
        <v>Link</v>
      </c>
      <c r="D1758" t="s">
        <v>2534</v>
      </c>
      <c r="E1758" s="17">
        <v>0.5</v>
      </c>
      <c r="F1758" t="s">
        <v>2535</v>
      </c>
      <c r="G1758">
        <v>0.5</v>
      </c>
      <c r="Q1758" s="1"/>
      <c r="R1758" s="1"/>
    </row>
    <row r="1759" spans="1:18" ht="15.75" customHeight="1" x14ac:dyDescent="0.25">
      <c r="A1759" s="2">
        <v>5444219</v>
      </c>
      <c r="B1759">
        <v>5444219</v>
      </c>
      <c r="C1759" t="str">
        <f>HYPERLINK("https://ois.dk/map/5444219/sfe", "Link")</f>
        <v>Link</v>
      </c>
      <c r="D1759" t="s">
        <v>2536</v>
      </c>
      <c r="E1759" s="17">
        <v>0.5</v>
      </c>
      <c r="F1759" t="s">
        <v>2537</v>
      </c>
      <c r="G1759">
        <v>0.5</v>
      </c>
      <c r="Q1759" s="1"/>
      <c r="R1759" s="1"/>
    </row>
    <row r="1760" spans="1:18" ht="15.75" customHeight="1" x14ac:dyDescent="0.25">
      <c r="A1760" s="2">
        <v>5444221</v>
      </c>
      <c r="B1760">
        <v>5444221</v>
      </c>
      <c r="C1760" t="str">
        <f>HYPERLINK("https://ois.dk/map/5444221/sfe", "Link")</f>
        <v>Link</v>
      </c>
      <c r="D1760" t="s">
        <v>2538</v>
      </c>
      <c r="E1760" s="17">
        <v>0.5</v>
      </c>
      <c r="F1760" t="s">
        <v>2539</v>
      </c>
      <c r="G1760">
        <v>0.5</v>
      </c>
      <c r="Q1760" s="1"/>
      <c r="R1760" s="1"/>
    </row>
    <row r="1761" spans="1:18" ht="15.75" customHeight="1" x14ac:dyDescent="0.25">
      <c r="A1761" s="2">
        <v>5444222</v>
      </c>
      <c r="B1761">
        <v>5444222</v>
      </c>
      <c r="C1761" t="str">
        <f>HYPERLINK("https://ois.dk/map/5444222/sfe", "Link")</f>
        <v>Link</v>
      </c>
      <c r="D1761" t="s">
        <v>2540</v>
      </c>
      <c r="E1761" s="17">
        <v>0.5</v>
      </c>
      <c r="F1761" t="s">
        <v>2541</v>
      </c>
      <c r="G1761">
        <v>0.5</v>
      </c>
      <c r="Q1761" s="1"/>
      <c r="R1761" s="1"/>
    </row>
    <row r="1762" spans="1:18" ht="15.75" customHeight="1" x14ac:dyDescent="0.25">
      <c r="A1762" s="2">
        <v>5444223</v>
      </c>
      <c r="B1762">
        <v>5444223</v>
      </c>
      <c r="C1762" t="str">
        <f>HYPERLINK("https://ois.dk/map/5444223/sfe", "Link")</f>
        <v>Link</v>
      </c>
      <c r="D1762" t="s">
        <v>2542</v>
      </c>
      <c r="E1762" s="17">
        <v>0.5</v>
      </c>
      <c r="F1762" t="s">
        <v>2543</v>
      </c>
      <c r="G1762">
        <v>0.5</v>
      </c>
      <c r="Q1762" s="1"/>
      <c r="R1762" s="1"/>
    </row>
    <row r="1763" spans="1:18" ht="15.75" customHeight="1" x14ac:dyDescent="0.25">
      <c r="A1763" s="2">
        <v>5444224</v>
      </c>
      <c r="B1763">
        <v>5444224</v>
      </c>
      <c r="C1763" t="str">
        <f>HYPERLINK("https://ois.dk/map/5444224/sfe", "Link")</f>
        <v>Link</v>
      </c>
      <c r="D1763" t="s">
        <v>2544</v>
      </c>
      <c r="E1763" s="17">
        <v>0.5</v>
      </c>
      <c r="F1763" t="s">
        <v>2545</v>
      </c>
      <c r="G1763">
        <v>0.5</v>
      </c>
      <c r="Q1763" s="1"/>
      <c r="R1763" s="1"/>
    </row>
    <row r="1764" spans="1:18" ht="15.75" customHeight="1" x14ac:dyDescent="0.25">
      <c r="A1764" s="2">
        <v>5444225</v>
      </c>
      <c r="B1764">
        <v>5444225</v>
      </c>
      <c r="C1764" t="str">
        <f>HYPERLINK("https://ois.dk/map/5444225/sfe", "Link")</f>
        <v>Link</v>
      </c>
      <c r="D1764" t="s">
        <v>2546</v>
      </c>
      <c r="E1764" s="17">
        <v>0.5</v>
      </c>
      <c r="F1764" t="s">
        <v>2547</v>
      </c>
      <c r="G1764">
        <v>0.5</v>
      </c>
      <c r="Q1764" s="1"/>
      <c r="R1764" s="1"/>
    </row>
    <row r="1765" spans="1:18" ht="15.75" customHeight="1" x14ac:dyDescent="0.25">
      <c r="A1765" s="2">
        <v>5444227</v>
      </c>
      <c r="B1765">
        <v>5444227</v>
      </c>
      <c r="C1765" t="str">
        <f>HYPERLINK("https://ois.dk/map/5444227/sfe", "Link")</f>
        <v>Link</v>
      </c>
      <c r="D1765" t="s">
        <v>2548</v>
      </c>
      <c r="E1765" s="17">
        <v>0.5</v>
      </c>
      <c r="F1765" t="s">
        <v>2549</v>
      </c>
      <c r="G1765">
        <v>0.5</v>
      </c>
      <c r="Q1765" s="1"/>
      <c r="R1765" s="1"/>
    </row>
    <row r="1766" spans="1:18" ht="15.75" customHeight="1" x14ac:dyDescent="0.25">
      <c r="A1766" s="2">
        <v>5444228</v>
      </c>
      <c r="B1766">
        <v>5444228</v>
      </c>
      <c r="C1766" t="str">
        <f>HYPERLINK("https://ois.dk/map/5444228/sfe", "Link")</f>
        <v>Link</v>
      </c>
      <c r="D1766" t="s">
        <v>2550</v>
      </c>
      <c r="E1766" s="17">
        <v>0.5</v>
      </c>
      <c r="F1766" t="s">
        <v>2551</v>
      </c>
      <c r="G1766">
        <v>0.5</v>
      </c>
      <c r="Q1766" s="1"/>
      <c r="R1766" s="1"/>
    </row>
    <row r="1767" spans="1:18" ht="15.75" customHeight="1" x14ac:dyDescent="0.25">
      <c r="A1767" s="2">
        <v>5444229</v>
      </c>
      <c r="B1767">
        <v>5444229</v>
      </c>
      <c r="C1767" t="str">
        <f>HYPERLINK("https://ois.dk/map/5444229/sfe", "Link")</f>
        <v>Link</v>
      </c>
      <c r="D1767" t="s">
        <v>2552</v>
      </c>
      <c r="E1767" s="17">
        <v>0.5</v>
      </c>
      <c r="F1767" t="s">
        <v>2553</v>
      </c>
      <c r="G1767">
        <v>0.5</v>
      </c>
      <c r="Q1767" s="1"/>
      <c r="R1767" s="1"/>
    </row>
    <row r="1768" spans="1:18" ht="15.75" customHeight="1" x14ac:dyDescent="0.25">
      <c r="A1768" s="2">
        <v>5444230</v>
      </c>
      <c r="B1768">
        <v>5444230</v>
      </c>
      <c r="C1768" t="str">
        <f>HYPERLINK("https://ois.dk/map/5444230/sfe", "Link")</f>
        <v>Link</v>
      </c>
      <c r="D1768" t="s">
        <v>2554</v>
      </c>
      <c r="E1768" s="17">
        <v>0.5</v>
      </c>
      <c r="F1768" t="s">
        <v>2555</v>
      </c>
      <c r="G1768">
        <v>0.5</v>
      </c>
      <c r="Q1768" s="1"/>
      <c r="R1768" s="1"/>
    </row>
    <row r="1769" spans="1:18" ht="15.75" customHeight="1" x14ac:dyDescent="0.25">
      <c r="A1769" s="2">
        <v>5444231</v>
      </c>
      <c r="B1769">
        <v>5444231</v>
      </c>
      <c r="C1769" t="str">
        <f t="shared" ref="C1769:C1780" si="47">HYPERLINK("https://ois.dk/map/5444231/sfe", "Link")</f>
        <v>Link</v>
      </c>
      <c r="D1769" t="s">
        <v>2556</v>
      </c>
      <c r="E1769" s="17">
        <v>1.25</v>
      </c>
      <c r="F1769" t="s">
        <v>2557</v>
      </c>
      <c r="H1769">
        <v>0.25</v>
      </c>
      <c r="I1769">
        <v>1</v>
      </c>
      <c r="Q1769" s="1"/>
      <c r="R1769" s="1">
        <v>1.28</v>
      </c>
    </row>
    <row r="1770" spans="1:18" ht="15.75" customHeight="1" x14ac:dyDescent="0.25">
      <c r="A1770" s="2">
        <v>5444231</v>
      </c>
      <c r="B1770">
        <v>5444231</v>
      </c>
      <c r="C1770" t="str">
        <f t="shared" si="47"/>
        <v>Link</v>
      </c>
      <c r="D1770" t="s">
        <v>2556</v>
      </c>
      <c r="E1770" s="17">
        <v>0.5</v>
      </c>
      <c r="F1770" t="s">
        <v>2558</v>
      </c>
      <c r="G1770">
        <v>0.5</v>
      </c>
      <c r="Q1770" s="1"/>
      <c r="R1770" s="1"/>
    </row>
    <row r="1771" spans="1:18" ht="15.75" customHeight="1" x14ac:dyDescent="0.25">
      <c r="A1771" s="2">
        <v>5444231</v>
      </c>
      <c r="B1771">
        <v>5444231</v>
      </c>
      <c r="C1771" t="str">
        <f t="shared" si="47"/>
        <v>Link</v>
      </c>
      <c r="D1771" t="s">
        <v>2556</v>
      </c>
      <c r="E1771" s="17">
        <v>0.5</v>
      </c>
      <c r="F1771" t="s">
        <v>2559</v>
      </c>
      <c r="G1771">
        <v>0.5</v>
      </c>
      <c r="Q1771" s="1"/>
      <c r="R1771" s="1"/>
    </row>
    <row r="1772" spans="1:18" ht="15.75" customHeight="1" x14ac:dyDescent="0.25">
      <c r="A1772" s="2">
        <v>5444231</v>
      </c>
      <c r="B1772">
        <v>5444231</v>
      </c>
      <c r="C1772" t="str">
        <f t="shared" si="47"/>
        <v>Link</v>
      </c>
      <c r="D1772" t="s">
        <v>2556</v>
      </c>
      <c r="E1772" s="17">
        <v>0.5</v>
      </c>
      <c r="F1772" t="s">
        <v>2560</v>
      </c>
      <c r="G1772">
        <v>0.5</v>
      </c>
      <c r="Q1772" s="1"/>
      <c r="R1772" s="1"/>
    </row>
    <row r="1773" spans="1:18" ht="15.75" customHeight="1" x14ac:dyDescent="0.25">
      <c r="A1773" s="2">
        <v>5444231</v>
      </c>
      <c r="B1773">
        <v>5444231</v>
      </c>
      <c r="C1773" t="str">
        <f t="shared" si="47"/>
        <v>Link</v>
      </c>
      <c r="D1773" t="s">
        <v>2556</v>
      </c>
      <c r="E1773" s="17">
        <v>0.5</v>
      </c>
      <c r="F1773" t="s">
        <v>2561</v>
      </c>
      <c r="G1773">
        <v>0.5</v>
      </c>
      <c r="Q1773" s="1"/>
      <c r="R1773" s="1"/>
    </row>
    <row r="1774" spans="1:18" ht="15.75" customHeight="1" x14ac:dyDescent="0.25">
      <c r="A1774" s="2">
        <v>5444231</v>
      </c>
      <c r="B1774">
        <v>5444231</v>
      </c>
      <c r="C1774" t="str">
        <f t="shared" si="47"/>
        <v>Link</v>
      </c>
      <c r="D1774" t="s">
        <v>2556</v>
      </c>
      <c r="E1774" s="17">
        <v>0.5</v>
      </c>
      <c r="F1774" t="s">
        <v>2562</v>
      </c>
      <c r="G1774">
        <v>0.5</v>
      </c>
      <c r="Q1774" s="1"/>
      <c r="R1774" s="1"/>
    </row>
    <row r="1775" spans="1:18" ht="15.75" customHeight="1" x14ac:dyDescent="0.25">
      <c r="A1775" s="2">
        <v>5444231</v>
      </c>
      <c r="B1775">
        <v>5444231</v>
      </c>
      <c r="C1775" t="str">
        <f t="shared" si="47"/>
        <v>Link</v>
      </c>
      <c r="D1775" t="s">
        <v>2556</v>
      </c>
      <c r="E1775" s="17">
        <v>0.5</v>
      </c>
      <c r="F1775" t="s">
        <v>2557</v>
      </c>
      <c r="G1775">
        <v>0.5</v>
      </c>
      <c r="Q1775" s="1"/>
      <c r="R1775" s="1"/>
    </row>
    <row r="1776" spans="1:18" ht="15.75" customHeight="1" x14ac:dyDescent="0.25">
      <c r="A1776" s="2">
        <v>5444231</v>
      </c>
      <c r="B1776">
        <v>5444231</v>
      </c>
      <c r="C1776" t="str">
        <f t="shared" si="47"/>
        <v>Link</v>
      </c>
      <c r="D1776" t="s">
        <v>2556</v>
      </c>
      <c r="E1776" s="17">
        <v>0.5</v>
      </c>
      <c r="F1776" t="s">
        <v>2563</v>
      </c>
      <c r="G1776">
        <v>0.5</v>
      </c>
      <c r="Q1776" s="1"/>
      <c r="R1776" s="1"/>
    </row>
    <row r="1777" spans="1:18" ht="15.75" customHeight="1" x14ac:dyDescent="0.25">
      <c r="A1777" s="2">
        <v>5444231</v>
      </c>
      <c r="B1777">
        <v>5444231</v>
      </c>
      <c r="C1777" t="str">
        <f t="shared" si="47"/>
        <v>Link</v>
      </c>
      <c r="D1777" t="s">
        <v>2556</v>
      </c>
      <c r="E1777" s="17">
        <v>0.5</v>
      </c>
      <c r="F1777" t="s">
        <v>2564</v>
      </c>
      <c r="G1777">
        <v>0.5</v>
      </c>
      <c r="Q1777" s="1"/>
      <c r="R1777" s="1"/>
    </row>
    <row r="1778" spans="1:18" ht="15.75" customHeight="1" x14ac:dyDescent="0.25">
      <c r="A1778" s="2">
        <v>5444231</v>
      </c>
      <c r="B1778">
        <v>5444231</v>
      </c>
      <c r="C1778" t="str">
        <f t="shared" si="47"/>
        <v>Link</v>
      </c>
      <c r="D1778" t="s">
        <v>2556</v>
      </c>
      <c r="E1778" s="17">
        <v>0.5</v>
      </c>
      <c r="F1778" t="s">
        <v>2565</v>
      </c>
      <c r="G1778">
        <v>0.5</v>
      </c>
      <c r="Q1778" s="1"/>
      <c r="R1778" s="1"/>
    </row>
    <row r="1779" spans="1:18" ht="15.75" customHeight="1" x14ac:dyDescent="0.25">
      <c r="A1779" s="2">
        <v>5444231</v>
      </c>
      <c r="B1779">
        <v>5444231</v>
      </c>
      <c r="C1779" t="str">
        <f t="shared" si="47"/>
        <v>Link</v>
      </c>
      <c r="D1779" t="s">
        <v>2556</v>
      </c>
      <c r="E1779" s="17">
        <v>0.5</v>
      </c>
      <c r="F1779" t="s">
        <v>2566</v>
      </c>
      <c r="G1779">
        <v>0.5</v>
      </c>
      <c r="Q1779" s="1"/>
      <c r="R1779" s="1"/>
    </row>
    <row r="1780" spans="1:18" ht="15.75" customHeight="1" x14ac:dyDescent="0.25">
      <c r="A1780" s="2">
        <v>5444231</v>
      </c>
      <c r="B1780">
        <v>5444231</v>
      </c>
      <c r="C1780" t="str">
        <f t="shared" si="47"/>
        <v>Link</v>
      </c>
      <c r="D1780" t="s">
        <v>2556</v>
      </c>
      <c r="E1780" s="17">
        <v>0.5</v>
      </c>
      <c r="F1780" t="s">
        <v>2567</v>
      </c>
      <c r="G1780">
        <v>0.5</v>
      </c>
      <c r="Q1780" s="1"/>
      <c r="R1780" s="1"/>
    </row>
    <row r="1781" spans="1:18" ht="15.75" customHeight="1" x14ac:dyDescent="0.25">
      <c r="A1781" s="2">
        <v>5444232</v>
      </c>
      <c r="B1781">
        <v>5444232</v>
      </c>
      <c r="C1781" t="str">
        <f>HYPERLINK("https://ois.dk/map/5444232/sfe", "Link")</f>
        <v>Link</v>
      </c>
      <c r="D1781" t="s">
        <v>2568</v>
      </c>
      <c r="E1781" s="17">
        <v>1.75</v>
      </c>
      <c r="F1781" t="s">
        <v>2569</v>
      </c>
      <c r="G1781">
        <v>0.5</v>
      </c>
      <c r="H1781">
        <v>0.25</v>
      </c>
      <c r="I1781">
        <v>1</v>
      </c>
      <c r="Q1781" s="1"/>
      <c r="R1781" s="1">
        <v>2.04</v>
      </c>
    </row>
    <row r="1782" spans="1:18" ht="15.75" customHeight="1" x14ac:dyDescent="0.25">
      <c r="A1782" s="2">
        <v>5444233</v>
      </c>
      <c r="B1782">
        <v>5444233</v>
      </c>
      <c r="C1782" t="str">
        <f>HYPERLINK("https://ois.dk/map/5444233/sfe", "Link")</f>
        <v>Link</v>
      </c>
      <c r="D1782" t="s">
        <v>2570</v>
      </c>
      <c r="E1782" s="17">
        <v>1.75</v>
      </c>
      <c r="F1782" t="s">
        <v>2571</v>
      </c>
      <c r="G1782">
        <v>0.5</v>
      </c>
      <c r="H1782">
        <v>0.25</v>
      </c>
      <c r="I1782">
        <v>1</v>
      </c>
      <c r="Q1782" s="1"/>
      <c r="R1782" s="1">
        <v>2.06</v>
      </c>
    </row>
    <row r="1783" spans="1:18" ht="15.75" customHeight="1" x14ac:dyDescent="0.25">
      <c r="A1783" s="2">
        <v>5444234</v>
      </c>
      <c r="B1783">
        <v>5444234</v>
      </c>
      <c r="C1783" t="str">
        <f>HYPERLINK("https://ois.dk/map/5444234/sfe", "Link")</f>
        <v>Link</v>
      </c>
      <c r="D1783" t="s">
        <v>2572</v>
      </c>
      <c r="E1783" s="17">
        <v>0.75</v>
      </c>
      <c r="F1783" t="s">
        <v>2573</v>
      </c>
      <c r="G1783">
        <v>0.5</v>
      </c>
      <c r="H1783">
        <v>0.25</v>
      </c>
      <c r="Q1783" s="1"/>
      <c r="R1783" s="1"/>
    </row>
    <row r="1784" spans="1:18" ht="15.75" customHeight="1" x14ac:dyDescent="0.25">
      <c r="A1784" s="2">
        <v>5444235</v>
      </c>
      <c r="B1784">
        <v>5444235</v>
      </c>
      <c r="C1784" t="str">
        <f>HYPERLINK("https://ois.dk/map/5444235/sfe", "Link")</f>
        <v>Link</v>
      </c>
      <c r="D1784" t="s">
        <v>2574</v>
      </c>
      <c r="E1784" s="17">
        <v>0.75</v>
      </c>
      <c r="F1784" t="s">
        <v>2575</v>
      </c>
      <c r="G1784">
        <v>0.5</v>
      </c>
      <c r="H1784">
        <v>0.25</v>
      </c>
      <c r="Q1784" s="1"/>
      <c r="R1784" s="1"/>
    </row>
    <row r="1785" spans="1:18" ht="15.75" customHeight="1" x14ac:dyDescent="0.25">
      <c r="A1785" s="2">
        <v>5444236</v>
      </c>
      <c r="B1785">
        <v>5444236</v>
      </c>
      <c r="C1785" t="str">
        <f>HYPERLINK("https://ois.dk/map/5444236/sfe", "Link")</f>
        <v>Link</v>
      </c>
      <c r="D1785" t="s">
        <v>2576</v>
      </c>
      <c r="E1785" s="17">
        <v>0.5</v>
      </c>
      <c r="F1785" t="s">
        <v>2577</v>
      </c>
      <c r="G1785">
        <v>0.5</v>
      </c>
      <c r="Q1785" s="1"/>
      <c r="R1785" s="1"/>
    </row>
    <row r="1786" spans="1:18" ht="15.75" customHeight="1" x14ac:dyDescent="0.25">
      <c r="A1786" s="2">
        <v>5444237</v>
      </c>
      <c r="B1786">
        <v>5444237</v>
      </c>
      <c r="C1786" t="str">
        <f>HYPERLINK("https://ois.dk/map/5444237/sfe", "Link")</f>
        <v>Link</v>
      </c>
      <c r="D1786" t="s">
        <v>2578</v>
      </c>
      <c r="E1786" s="17">
        <v>0.5</v>
      </c>
      <c r="F1786" t="s">
        <v>2579</v>
      </c>
      <c r="G1786">
        <v>0.5</v>
      </c>
      <c r="Q1786" s="1"/>
      <c r="R1786" s="1"/>
    </row>
    <row r="1787" spans="1:18" ht="15.75" customHeight="1" x14ac:dyDescent="0.25">
      <c r="A1787" s="2">
        <v>5444238</v>
      </c>
      <c r="B1787">
        <v>5444238</v>
      </c>
      <c r="C1787" t="str">
        <f>HYPERLINK("https://ois.dk/map/5444238/sfe", "Link")</f>
        <v>Link</v>
      </c>
      <c r="D1787" t="s">
        <v>2580</v>
      </c>
      <c r="E1787" s="17">
        <v>1.75</v>
      </c>
      <c r="F1787" t="s">
        <v>2581</v>
      </c>
      <c r="G1787">
        <v>0.5</v>
      </c>
      <c r="H1787">
        <v>0.25</v>
      </c>
      <c r="I1787">
        <v>1</v>
      </c>
      <c r="Q1787" s="1"/>
      <c r="R1787" s="1">
        <v>2.06</v>
      </c>
    </row>
    <row r="1788" spans="1:18" ht="15.75" customHeight="1" x14ac:dyDescent="0.25">
      <c r="A1788" s="2">
        <v>5444239</v>
      </c>
      <c r="B1788">
        <v>5444239</v>
      </c>
      <c r="C1788" t="str">
        <f>HYPERLINK("https://ois.dk/map/5444239/sfe", "Link")</f>
        <v>Link</v>
      </c>
      <c r="D1788" t="s">
        <v>2582</v>
      </c>
      <c r="E1788" s="17">
        <v>1.75</v>
      </c>
      <c r="F1788" t="s">
        <v>2583</v>
      </c>
      <c r="G1788">
        <v>0.5</v>
      </c>
      <c r="H1788">
        <v>0.25</v>
      </c>
      <c r="I1788">
        <v>1</v>
      </c>
      <c r="Q1788" s="1"/>
      <c r="R1788" s="1">
        <v>2.14</v>
      </c>
    </row>
    <row r="1789" spans="1:18" ht="15.75" customHeight="1" x14ac:dyDescent="0.25">
      <c r="A1789" s="2">
        <v>5444240</v>
      </c>
      <c r="B1789">
        <v>5444240</v>
      </c>
      <c r="C1789" t="str">
        <f>HYPERLINK("https://ois.dk/map/5444240/sfe", "Link")</f>
        <v>Link</v>
      </c>
      <c r="D1789" t="s">
        <v>2584</v>
      </c>
      <c r="E1789" s="17">
        <v>0.5</v>
      </c>
      <c r="F1789" t="s">
        <v>2585</v>
      </c>
      <c r="G1789">
        <v>0.5</v>
      </c>
      <c r="Q1789" s="1"/>
      <c r="R1789" s="1"/>
    </row>
    <row r="1790" spans="1:18" ht="15.75" customHeight="1" x14ac:dyDescent="0.25">
      <c r="A1790" s="2">
        <v>5444241</v>
      </c>
      <c r="B1790">
        <v>5444241</v>
      </c>
      <c r="C1790" t="str">
        <f t="shared" ref="C1790:C1796" si="48">HYPERLINK("https://ois.dk/map/5444241/sfe", "Link")</f>
        <v>Link</v>
      </c>
      <c r="D1790" t="s">
        <v>2586</v>
      </c>
      <c r="E1790" s="17">
        <v>0.5</v>
      </c>
      <c r="F1790" t="s">
        <v>2587</v>
      </c>
      <c r="G1790">
        <v>0.5</v>
      </c>
      <c r="Q1790" s="1"/>
      <c r="R1790" s="1"/>
    </row>
    <row r="1791" spans="1:18" ht="15.75" customHeight="1" x14ac:dyDescent="0.25">
      <c r="A1791" s="2">
        <v>5444241</v>
      </c>
      <c r="B1791">
        <v>5444241</v>
      </c>
      <c r="C1791" t="str">
        <f t="shared" si="48"/>
        <v>Link</v>
      </c>
      <c r="D1791" t="s">
        <v>2586</v>
      </c>
      <c r="E1791" s="17">
        <v>0.5</v>
      </c>
      <c r="F1791" t="s">
        <v>2588</v>
      </c>
      <c r="G1791">
        <v>0.5</v>
      </c>
      <c r="Q1791" s="1"/>
      <c r="R1791" s="1"/>
    </row>
    <row r="1792" spans="1:18" ht="15.75" customHeight="1" x14ac:dyDescent="0.25">
      <c r="A1792" s="2">
        <v>5444241</v>
      </c>
      <c r="B1792">
        <v>5444241</v>
      </c>
      <c r="C1792" t="str">
        <f t="shared" si="48"/>
        <v>Link</v>
      </c>
      <c r="D1792" t="s">
        <v>2586</v>
      </c>
      <c r="E1792" s="17">
        <v>0.5</v>
      </c>
      <c r="F1792" t="s">
        <v>2589</v>
      </c>
      <c r="G1792">
        <v>0.5</v>
      </c>
      <c r="Q1792" s="1"/>
      <c r="R1792" s="1"/>
    </row>
    <row r="1793" spans="1:18" ht="15.75" customHeight="1" x14ac:dyDescent="0.25">
      <c r="A1793" s="2">
        <v>5444241</v>
      </c>
      <c r="B1793">
        <v>5444241</v>
      </c>
      <c r="C1793" t="str">
        <f t="shared" si="48"/>
        <v>Link</v>
      </c>
      <c r="D1793" t="s">
        <v>2586</v>
      </c>
      <c r="E1793" s="17">
        <v>0.5</v>
      </c>
      <c r="F1793" t="s">
        <v>2590</v>
      </c>
      <c r="G1793">
        <v>0.5</v>
      </c>
      <c r="Q1793" s="1"/>
      <c r="R1793" s="1"/>
    </row>
    <row r="1794" spans="1:18" ht="15.75" customHeight="1" x14ac:dyDescent="0.25">
      <c r="A1794" s="2">
        <v>5444241</v>
      </c>
      <c r="B1794">
        <v>5444241</v>
      </c>
      <c r="C1794" t="str">
        <f t="shared" si="48"/>
        <v>Link</v>
      </c>
      <c r="D1794" t="s">
        <v>2586</v>
      </c>
      <c r="E1794" s="17">
        <v>0.5</v>
      </c>
      <c r="F1794" t="s">
        <v>2591</v>
      </c>
      <c r="G1794">
        <v>0.5</v>
      </c>
      <c r="Q1794" s="1"/>
      <c r="R1794" s="1"/>
    </row>
    <row r="1795" spans="1:18" ht="15.75" customHeight="1" x14ac:dyDescent="0.25">
      <c r="A1795" s="2">
        <v>5444241</v>
      </c>
      <c r="B1795">
        <v>5444241</v>
      </c>
      <c r="C1795" t="str">
        <f t="shared" si="48"/>
        <v>Link</v>
      </c>
      <c r="D1795" t="s">
        <v>2586</v>
      </c>
      <c r="E1795" s="17">
        <v>0.5</v>
      </c>
      <c r="F1795" t="s">
        <v>2592</v>
      </c>
      <c r="G1795">
        <v>0.5</v>
      </c>
      <c r="Q1795" s="1"/>
      <c r="R1795" s="1"/>
    </row>
    <row r="1796" spans="1:18" ht="15.75" customHeight="1" x14ac:dyDescent="0.25">
      <c r="A1796" s="2">
        <v>5444241</v>
      </c>
      <c r="B1796">
        <v>5444241</v>
      </c>
      <c r="C1796" t="str">
        <f t="shared" si="48"/>
        <v>Link</v>
      </c>
      <c r="D1796" t="s">
        <v>2586</v>
      </c>
      <c r="E1796" s="17">
        <v>0.5</v>
      </c>
      <c r="F1796" t="s">
        <v>2593</v>
      </c>
      <c r="G1796">
        <v>0.5</v>
      </c>
      <c r="Q1796" s="1"/>
      <c r="R1796" s="1"/>
    </row>
    <row r="1797" spans="1:18" ht="15.75" customHeight="1" x14ac:dyDescent="0.25">
      <c r="A1797" s="2">
        <v>5444242</v>
      </c>
      <c r="B1797">
        <v>5444242</v>
      </c>
      <c r="C1797" t="str">
        <f t="shared" ref="C1797:C1804" si="49">HYPERLINK("https://ois.dk/map/5444242/sfe", "Link")</f>
        <v>Link</v>
      </c>
      <c r="D1797" t="s">
        <v>2594</v>
      </c>
      <c r="E1797" s="17">
        <v>0.5</v>
      </c>
      <c r="F1797" t="s">
        <v>2595</v>
      </c>
      <c r="G1797">
        <v>0.5</v>
      </c>
      <c r="Q1797" s="1"/>
      <c r="R1797" s="1"/>
    </row>
    <row r="1798" spans="1:18" ht="15.75" customHeight="1" x14ac:dyDescent="0.25">
      <c r="A1798" s="2">
        <v>5444242</v>
      </c>
      <c r="B1798">
        <v>5444242</v>
      </c>
      <c r="C1798" t="str">
        <f t="shared" si="49"/>
        <v>Link</v>
      </c>
      <c r="D1798" t="s">
        <v>2594</v>
      </c>
      <c r="E1798" s="17">
        <v>0.5</v>
      </c>
      <c r="F1798" t="s">
        <v>2596</v>
      </c>
      <c r="G1798">
        <v>0.5</v>
      </c>
      <c r="Q1798" s="1"/>
      <c r="R1798" s="1"/>
    </row>
    <row r="1799" spans="1:18" ht="15.75" customHeight="1" x14ac:dyDescent="0.25">
      <c r="A1799" s="2">
        <v>5444242</v>
      </c>
      <c r="B1799">
        <v>5444242</v>
      </c>
      <c r="C1799" t="str">
        <f t="shared" si="49"/>
        <v>Link</v>
      </c>
      <c r="D1799" t="s">
        <v>2594</v>
      </c>
      <c r="E1799" s="17">
        <v>0.5</v>
      </c>
      <c r="F1799" t="s">
        <v>2597</v>
      </c>
      <c r="G1799">
        <v>0.5</v>
      </c>
      <c r="Q1799" s="1"/>
      <c r="R1799" s="1"/>
    </row>
    <row r="1800" spans="1:18" ht="15.75" customHeight="1" x14ac:dyDescent="0.25">
      <c r="A1800" s="2">
        <v>5444242</v>
      </c>
      <c r="B1800">
        <v>5444242</v>
      </c>
      <c r="C1800" t="str">
        <f t="shared" si="49"/>
        <v>Link</v>
      </c>
      <c r="D1800" t="s">
        <v>2594</v>
      </c>
      <c r="E1800" s="17">
        <v>0.5</v>
      </c>
      <c r="F1800" t="s">
        <v>2598</v>
      </c>
      <c r="G1800">
        <v>0.5</v>
      </c>
      <c r="Q1800" s="1"/>
      <c r="R1800" s="1"/>
    </row>
    <row r="1801" spans="1:18" ht="15.75" customHeight="1" x14ac:dyDescent="0.25">
      <c r="A1801" s="2">
        <v>5444242</v>
      </c>
      <c r="B1801">
        <v>5444242</v>
      </c>
      <c r="C1801" t="str">
        <f t="shared" si="49"/>
        <v>Link</v>
      </c>
      <c r="D1801" t="s">
        <v>2594</v>
      </c>
      <c r="E1801" s="17">
        <v>0.5</v>
      </c>
      <c r="F1801" t="s">
        <v>2599</v>
      </c>
      <c r="G1801">
        <v>0.5</v>
      </c>
      <c r="Q1801" s="1"/>
      <c r="R1801" s="1"/>
    </row>
    <row r="1802" spans="1:18" ht="15.75" customHeight="1" x14ac:dyDescent="0.25">
      <c r="A1802" s="2">
        <v>5444242</v>
      </c>
      <c r="B1802">
        <v>5444242</v>
      </c>
      <c r="C1802" t="str">
        <f t="shared" si="49"/>
        <v>Link</v>
      </c>
      <c r="D1802" t="s">
        <v>2594</v>
      </c>
      <c r="E1802" s="17">
        <v>0.5</v>
      </c>
      <c r="F1802" t="s">
        <v>2600</v>
      </c>
      <c r="G1802">
        <v>0.5</v>
      </c>
      <c r="Q1802" s="1"/>
      <c r="R1802" s="1"/>
    </row>
    <row r="1803" spans="1:18" ht="15.75" customHeight="1" x14ac:dyDescent="0.25">
      <c r="A1803" s="2">
        <v>5444242</v>
      </c>
      <c r="B1803">
        <v>5444242</v>
      </c>
      <c r="C1803" t="str">
        <f t="shared" si="49"/>
        <v>Link</v>
      </c>
      <c r="D1803" t="s">
        <v>2594</v>
      </c>
      <c r="E1803" s="17">
        <v>0.5</v>
      </c>
      <c r="F1803" t="s">
        <v>2601</v>
      </c>
      <c r="G1803">
        <v>0.5</v>
      </c>
      <c r="Q1803" s="1"/>
      <c r="R1803" s="1"/>
    </row>
    <row r="1804" spans="1:18" ht="15.75" customHeight="1" x14ac:dyDescent="0.25">
      <c r="A1804" s="2">
        <v>5444242</v>
      </c>
      <c r="B1804">
        <v>5444242</v>
      </c>
      <c r="C1804" t="str">
        <f t="shared" si="49"/>
        <v>Link</v>
      </c>
      <c r="D1804" t="s">
        <v>2594</v>
      </c>
      <c r="E1804" s="17">
        <v>0.5</v>
      </c>
      <c r="F1804" t="s">
        <v>2602</v>
      </c>
      <c r="G1804">
        <v>0.5</v>
      </c>
      <c r="Q1804" s="1"/>
      <c r="R1804" s="1"/>
    </row>
    <row r="1805" spans="1:18" ht="15.75" customHeight="1" x14ac:dyDescent="0.25">
      <c r="A1805" s="2">
        <v>5444243</v>
      </c>
      <c r="B1805">
        <v>5444243</v>
      </c>
      <c r="C1805" t="str">
        <f>HYPERLINK("https://ois.dk/map/5444243/sfe", "Link")</f>
        <v>Link</v>
      </c>
      <c r="D1805" t="s">
        <v>2603</v>
      </c>
      <c r="E1805" s="17">
        <v>0.5</v>
      </c>
      <c r="F1805" t="s">
        <v>2604</v>
      </c>
      <c r="G1805">
        <v>0.5</v>
      </c>
      <c r="Q1805" s="1"/>
      <c r="R1805" s="1"/>
    </row>
    <row r="1806" spans="1:18" ht="15.75" customHeight="1" x14ac:dyDescent="0.25">
      <c r="A1806" s="2">
        <v>5444244</v>
      </c>
      <c r="B1806">
        <v>5444244</v>
      </c>
      <c r="C1806" t="str">
        <f>HYPERLINK("https://ois.dk/map/5444244/sfe", "Link")</f>
        <v>Link</v>
      </c>
      <c r="D1806" t="s">
        <v>2605</v>
      </c>
      <c r="E1806" s="17">
        <v>0.5</v>
      </c>
      <c r="F1806" t="s">
        <v>2606</v>
      </c>
      <c r="G1806">
        <v>0.5</v>
      </c>
      <c r="Q1806" s="1"/>
      <c r="R1806" s="1"/>
    </row>
    <row r="1807" spans="1:18" ht="15.75" customHeight="1" x14ac:dyDescent="0.25">
      <c r="A1807" s="2">
        <v>5444245</v>
      </c>
      <c r="B1807">
        <v>5444245</v>
      </c>
      <c r="C1807" t="str">
        <f>HYPERLINK("https://ois.dk/map/5444245/sfe", "Link")</f>
        <v>Link</v>
      </c>
      <c r="D1807" t="s">
        <v>2607</v>
      </c>
      <c r="E1807" s="17">
        <v>0.5</v>
      </c>
      <c r="F1807" t="s">
        <v>2608</v>
      </c>
      <c r="G1807">
        <v>0.5</v>
      </c>
      <c r="Q1807" s="1"/>
      <c r="R1807" s="1"/>
    </row>
    <row r="1808" spans="1:18" ht="15.75" customHeight="1" x14ac:dyDescent="0.25">
      <c r="A1808" s="2">
        <v>5444248</v>
      </c>
      <c r="B1808">
        <v>5444248</v>
      </c>
      <c r="C1808" t="str">
        <f t="shared" ref="C1808:C1818" si="50">HYPERLINK("https://ois.dk/map/5444248/sfe", "Link")</f>
        <v>Link</v>
      </c>
      <c r="D1808" t="s">
        <v>2609</v>
      </c>
      <c r="E1808" s="17">
        <v>0.25</v>
      </c>
      <c r="F1808" t="s">
        <v>2610</v>
      </c>
      <c r="H1808">
        <v>0.25</v>
      </c>
      <c r="Q1808" s="1"/>
      <c r="R1808" s="1"/>
    </row>
    <row r="1809" spans="1:18" ht="15.75" customHeight="1" x14ac:dyDescent="0.25">
      <c r="A1809" s="2">
        <v>5444248</v>
      </c>
      <c r="B1809">
        <v>5444248</v>
      </c>
      <c r="C1809" t="str">
        <f t="shared" si="50"/>
        <v>Link</v>
      </c>
      <c r="D1809" t="s">
        <v>2609</v>
      </c>
      <c r="E1809" s="17">
        <v>0.5</v>
      </c>
      <c r="F1809" t="s">
        <v>2610</v>
      </c>
      <c r="G1809">
        <v>0.5</v>
      </c>
      <c r="Q1809" s="1"/>
      <c r="R1809" s="1"/>
    </row>
    <row r="1810" spans="1:18" ht="15.75" customHeight="1" x14ac:dyDescent="0.25">
      <c r="A1810" s="2">
        <v>5444248</v>
      </c>
      <c r="B1810">
        <v>5444248</v>
      </c>
      <c r="C1810" t="str">
        <f t="shared" si="50"/>
        <v>Link</v>
      </c>
      <c r="D1810" t="s">
        <v>2609</v>
      </c>
      <c r="E1810" s="17">
        <v>0.5</v>
      </c>
      <c r="F1810" t="s">
        <v>2611</v>
      </c>
      <c r="G1810">
        <v>0.5</v>
      </c>
      <c r="Q1810" s="1"/>
      <c r="R1810" s="1"/>
    </row>
    <row r="1811" spans="1:18" ht="15.75" customHeight="1" x14ac:dyDescent="0.25">
      <c r="A1811" s="2">
        <v>5444248</v>
      </c>
      <c r="B1811">
        <v>5444248</v>
      </c>
      <c r="C1811" t="str">
        <f t="shared" si="50"/>
        <v>Link</v>
      </c>
      <c r="D1811" t="s">
        <v>2609</v>
      </c>
      <c r="E1811" s="17">
        <v>0.5</v>
      </c>
      <c r="F1811" t="s">
        <v>2612</v>
      </c>
      <c r="G1811">
        <v>0.5</v>
      </c>
      <c r="Q1811" s="1"/>
      <c r="R1811" s="1"/>
    </row>
    <row r="1812" spans="1:18" ht="15.75" customHeight="1" x14ac:dyDescent="0.25">
      <c r="A1812" s="2">
        <v>5444248</v>
      </c>
      <c r="B1812">
        <v>5444248</v>
      </c>
      <c r="C1812" t="str">
        <f t="shared" si="50"/>
        <v>Link</v>
      </c>
      <c r="D1812" t="s">
        <v>2609</v>
      </c>
      <c r="E1812" s="17">
        <v>0.5</v>
      </c>
      <c r="F1812" t="s">
        <v>2613</v>
      </c>
      <c r="G1812">
        <v>0.5</v>
      </c>
      <c r="Q1812" s="1"/>
      <c r="R1812" s="1"/>
    </row>
    <row r="1813" spans="1:18" ht="15.75" customHeight="1" x14ac:dyDescent="0.25">
      <c r="A1813" s="2">
        <v>5444248</v>
      </c>
      <c r="B1813">
        <v>5444248</v>
      </c>
      <c r="C1813" t="str">
        <f t="shared" si="50"/>
        <v>Link</v>
      </c>
      <c r="D1813" t="s">
        <v>2609</v>
      </c>
      <c r="E1813" s="17">
        <v>0.5</v>
      </c>
      <c r="F1813" t="s">
        <v>2614</v>
      </c>
      <c r="G1813">
        <v>0.5</v>
      </c>
      <c r="Q1813" s="1"/>
      <c r="R1813" s="1"/>
    </row>
    <row r="1814" spans="1:18" ht="15.75" customHeight="1" x14ac:dyDescent="0.25">
      <c r="A1814" s="2">
        <v>5444248</v>
      </c>
      <c r="B1814">
        <v>5444248</v>
      </c>
      <c r="C1814" t="str">
        <f t="shared" si="50"/>
        <v>Link</v>
      </c>
      <c r="D1814" t="s">
        <v>2609</v>
      </c>
      <c r="E1814" s="17">
        <v>0.5</v>
      </c>
      <c r="F1814" t="s">
        <v>2615</v>
      </c>
      <c r="G1814">
        <v>0.5</v>
      </c>
      <c r="Q1814" s="1"/>
      <c r="R1814" s="1"/>
    </row>
    <row r="1815" spans="1:18" ht="15.75" customHeight="1" x14ac:dyDescent="0.25">
      <c r="A1815" s="2">
        <v>5444248</v>
      </c>
      <c r="B1815">
        <v>5444248</v>
      </c>
      <c r="C1815" t="str">
        <f t="shared" si="50"/>
        <v>Link</v>
      </c>
      <c r="D1815" t="s">
        <v>2609</v>
      </c>
      <c r="E1815" s="17">
        <v>0.5</v>
      </c>
      <c r="F1815" t="s">
        <v>2616</v>
      </c>
      <c r="G1815">
        <v>0.5</v>
      </c>
      <c r="Q1815" s="1"/>
      <c r="R1815" s="1"/>
    </row>
    <row r="1816" spans="1:18" ht="15.75" customHeight="1" x14ac:dyDescent="0.25">
      <c r="A1816" s="2">
        <v>5444248</v>
      </c>
      <c r="B1816">
        <v>5444248</v>
      </c>
      <c r="C1816" t="str">
        <f t="shared" si="50"/>
        <v>Link</v>
      </c>
      <c r="D1816" t="s">
        <v>2609</v>
      </c>
      <c r="E1816" s="17">
        <v>0.5</v>
      </c>
      <c r="F1816" t="s">
        <v>2617</v>
      </c>
      <c r="G1816">
        <v>0.5</v>
      </c>
      <c r="Q1816" s="1"/>
      <c r="R1816" s="1"/>
    </row>
    <row r="1817" spans="1:18" ht="15.75" customHeight="1" x14ac:dyDescent="0.25">
      <c r="A1817" s="2">
        <v>5444248</v>
      </c>
      <c r="B1817">
        <v>5444248</v>
      </c>
      <c r="C1817" t="str">
        <f t="shared" si="50"/>
        <v>Link</v>
      </c>
      <c r="D1817" t="s">
        <v>2609</v>
      </c>
      <c r="E1817" s="17">
        <v>0.5</v>
      </c>
      <c r="F1817" t="s">
        <v>2618</v>
      </c>
      <c r="G1817">
        <v>0.5</v>
      </c>
      <c r="Q1817" s="1"/>
      <c r="R1817" s="1"/>
    </row>
    <row r="1818" spans="1:18" ht="15.75" customHeight="1" x14ac:dyDescent="0.25">
      <c r="A1818" s="2">
        <v>5444248</v>
      </c>
      <c r="B1818">
        <v>5444248</v>
      </c>
      <c r="C1818" t="str">
        <f t="shared" si="50"/>
        <v>Link</v>
      </c>
      <c r="D1818" t="s">
        <v>2609</v>
      </c>
      <c r="E1818" s="17">
        <v>0.5</v>
      </c>
      <c r="F1818" t="s">
        <v>2619</v>
      </c>
      <c r="G1818">
        <v>0.5</v>
      </c>
      <c r="Q1818" s="1"/>
      <c r="R1818" s="1"/>
    </row>
    <row r="1819" spans="1:18" ht="15.75" customHeight="1" x14ac:dyDescent="0.25">
      <c r="A1819" s="2">
        <v>5444249</v>
      </c>
      <c r="B1819">
        <v>5444249</v>
      </c>
      <c r="C1819" t="str">
        <f>HYPERLINK("https://ois.dk/map/5444249/sfe", "Link")</f>
        <v>Link</v>
      </c>
      <c r="D1819" t="s">
        <v>2620</v>
      </c>
      <c r="E1819" s="17">
        <v>0.5</v>
      </c>
      <c r="F1819" t="s">
        <v>2621</v>
      </c>
      <c r="G1819">
        <v>0.5</v>
      </c>
      <c r="Q1819" s="1"/>
      <c r="R1819" s="1"/>
    </row>
    <row r="1820" spans="1:18" ht="15.75" customHeight="1" x14ac:dyDescent="0.25">
      <c r="A1820" s="2">
        <v>5444250</v>
      </c>
      <c r="B1820">
        <v>5444250</v>
      </c>
      <c r="C1820" t="str">
        <f>HYPERLINK("https://ois.dk/map/5444250/sfe", "Link")</f>
        <v>Link</v>
      </c>
      <c r="D1820" t="s">
        <v>2622</v>
      </c>
      <c r="E1820" s="17">
        <v>0.5</v>
      </c>
      <c r="F1820" t="s">
        <v>2623</v>
      </c>
      <c r="G1820">
        <v>0.5</v>
      </c>
      <c r="Q1820" s="1"/>
      <c r="R1820" s="1"/>
    </row>
    <row r="1821" spans="1:18" ht="15.75" customHeight="1" x14ac:dyDescent="0.25">
      <c r="A1821" s="2">
        <v>5444251</v>
      </c>
      <c r="B1821">
        <v>5444251</v>
      </c>
      <c r="C1821" t="str">
        <f>HYPERLINK("https://ois.dk/map/5444251/sfe", "Link")</f>
        <v>Link</v>
      </c>
      <c r="D1821" t="s">
        <v>2624</v>
      </c>
      <c r="E1821" s="17">
        <v>0.5</v>
      </c>
      <c r="F1821" t="s">
        <v>2625</v>
      </c>
      <c r="G1821">
        <v>0.5</v>
      </c>
      <c r="Q1821" s="1"/>
      <c r="R1821" s="1"/>
    </row>
    <row r="1822" spans="1:18" ht="15.75" customHeight="1" x14ac:dyDescent="0.25">
      <c r="A1822" s="2">
        <v>5444252</v>
      </c>
      <c r="B1822">
        <v>5444252</v>
      </c>
      <c r="C1822" t="str">
        <f>HYPERLINK("https://ois.dk/map/5444252/sfe", "Link")</f>
        <v>Link</v>
      </c>
      <c r="D1822" t="s">
        <v>2626</v>
      </c>
      <c r="E1822" s="17">
        <v>0.5</v>
      </c>
      <c r="F1822" t="s">
        <v>2627</v>
      </c>
      <c r="G1822">
        <v>0.5</v>
      </c>
      <c r="Q1822" s="1"/>
      <c r="R1822" s="1"/>
    </row>
    <row r="1823" spans="1:18" ht="15.75" customHeight="1" x14ac:dyDescent="0.25">
      <c r="A1823" s="2">
        <v>5444253</v>
      </c>
      <c r="B1823">
        <v>5444253</v>
      </c>
      <c r="C1823" t="str">
        <f>HYPERLINK("https://ois.dk/map/5444253/sfe", "Link")</f>
        <v>Link</v>
      </c>
      <c r="D1823" t="s">
        <v>2628</v>
      </c>
      <c r="E1823" s="17">
        <v>0.5</v>
      </c>
      <c r="F1823" t="s">
        <v>2629</v>
      </c>
      <c r="G1823">
        <v>0.5</v>
      </c>
      <c r="Q1823" s="1"/>
      <c r="R1823" s="1"/>
    </row>
    <row r="1824" spans="1:18" ht="15.75" customHeight="1" x14ac:dyDescent="0.25">
      <c r="A1824" s="2">
        <v>5444254</v>
      </c>
      <c r="B1824">
        <v>5444254</v>
      </c>
      <c r="C1824" t="str">
        <f>HYPERLINK("https://ois.dk/map/5444254/sfe", "Link")</f>
        <v>Link</v>
      </c>
      <c r="D1824" t="s">
        <v>2630</v>
      </c>
      <c r="E1824" s="17">
        <v>0.5</v>
      </c>
      <c r="F1824" t="s">
        <v>2631</v>
      </c>
      <c r="G1824">
        <v>0.5</v>
      </c>
      <c r="Q1824" s="1"/>
      <c r="R1824" s="1"/>
    </row>
    <row r="1825" spans="1:18" ht="15.75" customHeight="1" x14ac:dyDescent="0.25">
      <c r="A1825" s="2">
        <v>5444255</v>
      </c>
      <c r="B1825">
        <v>5444255</v>
      </c>
      <c r="C1825" t="str">
        <f>HYPERLINK("https://ois.dk/map/5444255/sfe", "Link")</f>
        <v>Link</v>
      </c>
      <c r="D1825" t="s">
        <v>2632</v>
      </c>
      <c r="E1825" s="17">
        <v>0.5</v>
      </c>
      <c r="F1825" t="s">
        <v>2633</v>
      </c>
      <c r="G1825">
        <v>0.5</v>
      </c>
      <c r="Q1825" s="1"/>
      <c r="R1825" s="1"/>
    </row>
    <row r="1826" spans="1:18" ht="15.75" customHeight="1" x14ac:dyDescent="0.25">
      <c r="A1826" s="2">
        <v>5444256</v>
      </c>
      <c r="B1826">
        <v>5444256</v>
      </c>
      <c r="C1826" t="str">
        <f>HYPERLINK("https://ois.dk/map/5444256/sfe", "Link")</f>
        <v>Link</v>
      </c>
      <c r="D1826" t="s">
        <v>2634</v>
      </c>
      <c r="E1826" s="17">
        <v>0.5</v>
      </c>
      <c r="F1826" t="s">
        <v>2635</v>
      </c>
      <c r="G1826">
        <v>0.5</v>
      </c>
      <c r="Q1826" s="1"/>
      <c r="R1826" s="1"/>
    </row>
    <row r="1827" spans="1:18" ht="15.75" customHeight="1" x14ac:dyDescent="0.25">
      <c r="A1827" s="2">
        <v>5444257</v>
      </c>
      <c r="B1827">
        <v>5444257</v>
      </c>
      <c r="C1827" t="str">
        <f t="shared" ref="C1827:C1835" si="51">HYPERLINK("https://ois.dk/map/5444257/sfe", "Link")</f>
        <v>Link</v>
      </c>
      <c r="D1827" t="s">
        <v>2636</v>
      </c>
      <c r="E1827" s="17">
        <v>1.25</v>
      </c>
      <c r="F1827" t="s">
        <v>2637</v>
      </c>
      <c r="H1827">
        <v>0.25</v>
      </c>
      <c r="I1827">
        <v>1</v>
      </c>
      <c r="Q1827" s="1"/>
      <c r="R1827" s="1">
        <v>1.28</v>
      </c>
    </row>
    <row r="1828" spans="1:18" ht="15.75" customHeight="1" x14ac:dyDescent="0.25">
      <c r="A1828" s="2">
        <v>5444257</v>
      </c>
      <c r="B1828">
        <v>5444257</v>
      </c>
      <c r="C1828" t="str">
        <f t="shared" si="51"/>
        <v>Link</v>
      </c>
      <c r="D1828" t="s">
        <v>2636</v>
      </c>
      <c r="E1828" s="17">
        <v>0.5</v>
      </c>
      <c r="F1828" t="s">
        <v>2637</v>
      </c>
      <c r="G1828">
        <v>0.5</v>
      </c>
      <c r="Q1828" s="1"/>
      <c r="R1828" s="1"/>
    </row>
    <row r="1829" spans="1:18" ht="15.75" customHeight="1" x14ac:dyDescent="0.25">
      <c r="A1829" s="2">
        <v>5444257</v>
      </c>
      <c r="B1829">
        <v>5444257</v>
      </c>
      <c r="C1829" t="str">
        <f t="shared" si="51"/>
        <v>Link</v>
      </c>
      <c r="D1829" t="s">
        <v>2636</v>
      </c>
      <c r="E1829" s="17">
        <v>0.5</v>
      </c>
      <c r="F1829" t="s">
        <v>2638</v>
      </c>
      <c r="G1829">
        <v>0.5</v>
      </c>
      <c r="Q1829" s="1"/>
      <c r="R1829" s="1"/>
    </row>
    <row r="1830" spans="1:18" ht="15.75" customHeight="1" x14ac:dyDescent="0.25">
      <c r="A1830" s="2">
        <v>5444257</v>
      </c>
      <c r="B1830">
        <v>5444257</v>
      </c>
      <c r="C1830" t="str">
        <f t="shared" si="51"/>
        <v>Link</v>
      </c>
      <c r="D1830" t="s">
        <v>2636</v>
      </c>
      <c r="E1830" s="17">
        <v>0.5</v>
      </c>
      <c r="F1830" t="s">
        <v>2639</v>
      </c>
      <c r="G1830">
        <v>0.5</v>
      </c>
      <c r="Q1830" s="1"/>
      <c r="R1830" s="1"/>
    </row>
    <row r="1831" spans="1:18" ht="15.75" customHeight="1" x14ac:dyDescent="0.25">
      <c r="A1831" s="2">
        <v>5444257</v>
      </c>
      <c r="B1831">
        <v>5444257</v>
      </c>
      <c r="C1831" t="str">
        <f t="shared" si="51"/>
        <v>Link</v>
      </c>
      <c r="D1831" t="s">
        <v>2636</v>
      </c>
      <c r="E1831" s="17">
        <v>0.5</v>
      </c>
      <c r="F1831" t="s">
        <v>2640</v>
      </c>
      <c r="G1831">
        <v>0.5</v>
      </c>
      <c r="Q1831" s="1"/>
      <c r="R1831" s="1"/>
    </row>
    <row r="1832" spans="1:18" ht="15.75" customHeight="1" x14ac:dyDescent="0.25">
      <c r="A1832" s="2">
        <v>5444257</v>
      </c>
      <c r="B1832">
        <v>5444257</v>
      </c>
      <c r="C1832" t="str">
        <f t="shared" si="51"/>
        <v>Link</v>
      </c>
      <c r="D1832" t="s">
        <v>2636</v>
      </c>
      <c r="E1832" s="17">
        <v>0.5</v>
      </c>
      <c r="F1832" t="s">
        <v>2641</v>
      </c>
      <c r="G1832">
        <v>0.5</v>
      </c>
      <c r="Q1832" s="1"/>
      <c r="R1832" s="1"/>
    </row>
    <row r="1833" spans="1:18" ht="15.75" customHeight="1" x14ac:dyDescent="0.25">
      <c r="A1833" s="2">
        <v>5444257</v>
      </c>
      <c r="B1833">
        <v>5444257</v>
      </c>
      <c r="C1833" t="str">
        <f t="shared" si="51"/>
        <v>Link</v>
      </c>
      <c r="D1833" t="s">
        <v>2636</v>
      </c>
      <c r="E1833" s="17">
        <v>0.5</v>
      </c>
      <c r="F1833" t="s">
        <v>2642</v>
      </c>
      <c r="G1833">
        <v>0.5</v>
      </c>
      <c r="Q1833" s="1"/>
      <c r="R1833" s="1"/>
    </row>
    <row r="1834" spans="1:18" ht="15.75" customHeight="1" x14ac:dyDescent="0.25">
      <c r="A1834" s="2">
        <v>5444257</v>
      </c>
      <c r="B1834">
        <v>5444257</v>
      </c>
      <c r="C1834" t="str">
        <f t="shared" si="51"/>
        <v>Link</v>
      </c>
      <c r="D1834" t="s">
        <v>2636</v>
      </c>
      <c r="E1834" s="17">
        <v>0.5</v>
      </c>
      <c r="F1834" t="s">
        <v>2643</v>
      </c>
      <c r="G1834">
        <v>0.5</v>
      </c>
      <c r="Q1834" s="1"/>
      <c r="R1834" s="1"/>
    </row>
    <row r="1835" spans="1:18" ht="15.75" customHeight="1" x14ac:dyDescent="0.25">
      <c r="A1835" s="2">
        <v>5444257</v>
      </c>
      <c r="B1835">
        <v>5444257</v>
      </c>
      <c r="C1835" t="str">
        <f t="shared" si="51"/>
        <v>Link</v>
      </c>
      <c r="D1835" t="s">
        <v>2636</v>
      </c>
      <c r="E1835" s="17">
        <v>0.5</v>
      </c>
      <c r="F1835" t="s">
        <v>2644</v>
      </c>
      <c r="G1835">
        <v>0.5</v>
      </c>
      <c r="Q1835" s="1"/>
      <c r="R1835" s="1"/>
    </row>
    <row r="1836" spans="1:18" ht="15.75" customHeight="1" x14ac:dyDescent="0.25">
      <c r="A1836" s="2">
        <v>5444258</v>
      </c>
      <c r="B1836">
        <v>5444258</v>
      </c>
      <c r="C1836" t="str">
        <f>HYPERLINK("https://ois.dk/map/5444258/sfe", "Link")</f>
        <v>Link</v>
      </c>
      <c r="D1836" t="s">
        <v>2645</v>
      </c>
      <c r="E1836" s="17">
        <v>1.75</v>
      </c>
      <c r="F1836" t="s">
        <v>2646</v>
      </c>
      <c r="G1836">
        <v>0.5</v>
      </c>
      <c r="H1836">
        <v>0.25</v>
      </c>
      <c r="I1836">
        <v>1</v>
      </c>
      <c r="Q1836" s="1"/>
      <c r="R1836" s="1">
        <v>1.62</v>
      </c>
    </row>
    <row r="1837" spans="1:18" ht="15.75" customHeight="1" x14ac:dyDescent="0.25">
      <c r="A1837" s="2">
        <v>5444259</v>
      </c>
      <c r="B1837">
        <v>5444259</v>
      </c>
      <c r="C1837" t="str">
        <f>HYPERLINK("https://ois.dk/map/5444259/sfe", "Link")</f>
        <v>Link</v>
      </c>
      <c r="D1837" t="s">
        <v>2647</v>
      </c>
      <c r="E1837" s="17">
        <v>1.75</v>
      </c>
      <c r="F1837" t="s">
        <v>2648</v>
      </c>
      <c r="G1837">
        <v>0.5</v>
      </c>
      <c r="H1837">
        <v>0.25</v>
      </c>
      <c r="I1837">
        <v>1</v>
      </c>
      <c r="Q1837" s="1"/>
      <c r="R1837" s="1">
        <v>2.16</v>
      </c>
    </row>
    <row r="1838" spans="1:18" ht="15.75" customHeight="1" x14ac:dyDescent="0.25">
      <c r="A1838" s="2">
        <v>5444260</v>
      </c>
      <c r="B1838">
        <v>5444260</v>
      </c>
      <c r="C1838" t="str">
        <f>HYPERLINK("https://ois.dk/map/5444260/sfe", "Link")</f>
        <v>Link</v>
      </c>
      <c r="D1838" t="s">
        <v>2649</v>
      </c>
      <c r="E1838" s="17">
        <v>0.75</v>
      </c>
      <c r="F1838" t="s">
        <v>2650</v>
      </c>
      <c r="G1838">
        <v>0.5</v>
      </c>
      <c r="H1838">
        <v>0.25</v>
      </c>
      <c r="Q1838" s="1"/>
      <c r="R1838" s="1"/>
    </row>
    <row r="1839" spans="1:18" ht="15.75" customHeight="1" x14ac:dyDescent="0.25">
      <c r="A1839" s="2">
        <v>5444262</v>
      </c>
      <c r="B1839">
        <v>5444262</v>
      </c>
      <c r="C1839" t="str">
        <f>HYPERLINK("https://ois.dk/map/5444262/sfe", "Link")</f>
        <v>Link</v>
      </c>
      <c r="D1839" t="s">
        <v>2651</v>
      </c>
      <c r="E1839" s="17">
        <v>0.5</v>
      </c>
      <c r="F1839" t="s">
        <v>2652</v>
      </c>
      <c r="G1839">
        <v>0.5</v>
      </c>
      <c r="Q1839" s="1"/>
      <c r="R1839" s="1"/>
    </row>
    <row r="1840" spans="1:18" ht="15.75" customHeight="1" x14ac:dyDescent="0.25">
      <c r="A1840" s="2">
        <v>5444263</v>
      </c>
      <c r="B1840">
        <v>5444263</v>
      </c>
      <c r="C1840" t="str">
        <f>HYPERLINK("https://ois.dk/map/5444263/sfe", "Link")</f>
        <v>Link</v>
      </c>
      <c r="D1840" t="s">
        <v>2653</v>
      </c>
      <c r="E1840" s="17">
        <v>1.75</v>
      </c>
      <c r="F1840" t="s">
        <v>2654</v>
      </c>
      <c r="G1840">
        <v>0.5</v>
      </c>
      <c r="H1840">
        <v>0.25</v>
      </c>
      <c r="I1840">
        <v>1</v>
      </c>
      <c r="Q1840" s="1"/>
      <c r="R1840" s="1">
        <v>1.85</v>
      </c>
    </row>
    <row r="1841" spans="1:18" ht="15.75" customHeight="1" x14ac:dyDescent="0.25">
      <c r="A1841" s="2">
        <v>5444264</v>
      </c>
      <c r="B1841">
        <v>5444264</v>
      </c>
      <c r="C1841" t="str">
        <f>HYPERLINK("https://ois.dk/map/5444264/sfe", "Link")</f>
        <v>Link</v>
      </c>
      <c r="D1841" t="s">
        <v>2655</v>
      </c>
      <c r="E1841" s="17">
        <v>1.75</v>
      </c>
      <c r="F1841" t="s">
        <v>2656</v>
      </c>
      <c r="G1841">
        <v>0.5</v>
      </c>
      <c r="H1841">
        <v>0.25</v>
      </c>
      <c r="I1841">
        <v>1</v>
      </c>
      <c r="Q1841" s="1"/>
      <c r="R1841" s="1">
        <v>1.6</v>
      </c>
    </row>
    <row r="1842" spans="1:18" ht="15.75" customHeight="1" x14ac:dyDescent="0.25">
      <c r="A1842" s="2">
        <v>5444265</v>
      </c>
      <c r="B1842">
        <v>5444265</v>
      </c>
      <c r="C1842" t="str">
        <f>HYPERLINK("https://ois.dk/map/5444265/sfe", "Link")</f>
        <v>Link</v>
      </c>
      <c r="D1842" t="s">
        <v>2657</v>
      </c>
      <c r="E1842" s="17">
        <v>1.75</v>
      </c>
      <c r="F1842" t="s">
        <v>2658</v>
      </c>
      <c r="G1842">
        <v>0.5</v>
      </c>
      <c r="H1842">
        <v>0.25</v>
      </c>
      <c r="I1842">
        <v>1</v>
      </c>
      <c r="Q1842" s="1"/>
      <c r="R1842" s="1">
        <v>1.0900000000000001</v>
      </c>
    </row>
    <row r="1843" spans="1:18" ht="15.75" customHeight="1" x14ac:dyDescent="0.25">
      <c r="A1843" s="2">
        <v>5444266</v>
      </c>
      <c r="B1843">
        <v>5444266</v>
      </c>
      <c r="C1843" t="str">
        <f>HYPERLINK("https://ois.dk/map/5444266/sfe", "Link")</f>
        <v>Link</v>
      </c>
      <c r="D1843" t="s">
        <v>2659</v>
      </c>
      <c r="E1843" s="17">
        <v>1.75</v>
      </c>
      <c r="F1843" t="s">
        <v>2660</v>
      </c>
      <c r="G1843">
        <v>0.5</v>
      </c>
      <c r="H1843">
        <v>0.25</v>
      </c>
      <c r="I1843">
        <v>1</v>
      </c>
      <c r="Q1843" s="1"/>
      <c r="R1843" s="1">
        <v>0.81</v>
      </c>
    </row>
    <row r="1844" spans="1:18" ht="15.75" customHeight="1" x14ac:dyDescent="0.25">
      <c r="A1844" s="2">
        <v>5444267</v>
      </c>
      <c r="B1844">
        <v>5444267</v>
      </c>
      <c r="C1844" t="str">
        <f>HYPERLINK("https://ois.dk/map/5444267/sfe", "Link")</f>
        <v>Link</v>
      </c>
      <c r="D1844" t="s">
        <v>2661</v>
      </c>
      <c r="E1844" s="17">
        <v>1.75</v>
      </c>
      <c r="F1844" t="s">
        <v>2662</v>
      </c>
      <c r="G1844">
        <v>0.5</v>
      </c>
      <c r="H1844">
        <v>0.25</v>
      </c>
      <c r="I1844">
        <v>1</v>
      </c>
      <c r="Q1844" s="1"/>
      <c r="R1844" s="1">
        <v>1.46</v>
      </c>
    </row>
    <row r="1845" spans="1:18" ht="15.75" customHeight="1" x14ac:dyDescent="0.25">
      <c r="A1845" s="2">
        <v>5444268</v>
      </c>
      <c r="B1845">
        <v>5444268</v>
      </c>
      <c r="C1845" t="str">
        <f>HYPERLINK("https://ois.dk/map/5444268/sfe", "Link")</f>
        <v>Link</v>
      </c>
      <c r="D1845" t="s">
        <v>2663</v>
      </c>
      <c r="E1845" s="17">
        <v>1.75</v>
      </c>
      <c r="F1845" t="s">
        <v>2664</v>
      </c>
      <c r="G1845">
        <v>0.5</v>
      </c>
      <c r="H1845">
        <v>0.25</v>
      </c>
      <c r="I1845">
        <v>1</v>
      </c>
      <c r="Q1845" s="1"/>
      <c r="R1845" s="1">
        <v>2.0099999999999998</v>
      </c>
    </row>
    <row r="1846" spans="1:18" ht="15.75" customHeight="1" x14ac:dyDescent="0.25">
      <c r="A1846" s="2">
        <v>5444269</v>
      </c>
      <c r="B1846">
        <v>5444269</v>
      </c>
      <c r="C1846" t="str">
        <f>HYPERLINK("https://ois.dk/map/5444269/sfe", "Link")</f>
        <v>Link</v>
      </c>
      <c r="D1846" t="s">
        <v>2665</v>
      </c>
      <c r="E1846" s="17">
        <v>0.5</v>
      </c>
      <c r="F1846" t="s">
        <v>2666</v>
      </c>
      <c r="G1846">
        <v>0.5</v>
      </c>
      <c r="Q1846" s="1"/>
      <c r="R1846" s="1"/>
    </row>
    <row r="1847" spans="1:18" ht="15.75" customHeight="1" x14ac:dyDescent="0.25">
      <c r="A1847" s="2">
        <v>5444270</v>
      </c>
      <c r="B1847">
        <v>5444270</v>
      </c>
      <c r="C1847" t="str">
        <f>HYPERLINK("https://ois.dk/map/5444270/sfe", "Link")</f>
        <v>Link</v>
      </c>
      <c r="D1847" t="s">
        <v>2667</v>
      </c>
      <c r="E1847" s="17">
        <v>0.5</v>
      </c>
      <c r="F1847" t="s">
        <v>2668</v>
      </c>
      <c r="G1847">
        <v>0.5</v>
      </c>
      <c r="Q1847" s="1"/>
      <c r="R1847" s="1"/>
    </row>
    <row r="1848" spans="1:18" ht="15.75" customHeight="1" x14ac:dyDescent="0.25">
      <c r="A1848" s="2">
        <v>5444271</v>
      </c>
      <c r="B1848">
        <v>5444271</v>
      </c>
      <c r="C1848" t="str">
        <f>HYPERLINK("https://ois.dk/map/5444271/sfe", "Link")</f>
        <v>Link</v>
      </c>
      <c r="D1848" t="s">
        <v>2669</v>
      </c>
      <c r="E1848" s="17">
        <v>0.5</v>
      </c>
      <c r="F1848" t="s">
        <v>2670</v>
      </c>
      <c r="G1848">
        <v>0.5</v>
      </c>
      <c r="Q1848" s="1"/>
      <c r="R1848" s="1"/>
    </row>
    <row r="1849" spans="1:18" ht="15.75" customHeight="1" x14ac:dyDescent="0.25">
      <c r="A1849" s="2">
        <v>5444272</v>
      </c>
      <c r="B1849">
        <v>5444272</v>
      </c>
      <c r="C1849" t="str">
        <f>HYPERLINK("https://ois.dk/map/5444272/sfe", "Link")</f>
        <v>Link</v>
      </c>
      <c r="D1849" t="s">
        <v>2671</v>
      </c>
      <c r="E1849" s="17">
        <v>0.5</v>
      </c>
      <c r="F1849" t="s">
        <v>2672</v>
      </c>
      <c r="G1849">
        <v>0.5</v>
      </c>
      <c r="Q1849" s="1"/>
      <c r="R1849" s="1"/>
    </row>
    <row r="1850" spans="1:18" ht="15.75" customHeight="1" x14ac:dyDescent="0.25">
      <c r="A1850" s="2">
        <v>5444273</v>
      </c>
      <c r="B1850">
        <v>5444273</v>
      </c>
      <c r="C1850" t="str">
        <f>HYPERLINK("https://ois.dk/map/5444273/sfe", "Link")</f>
        <v>Link</v>
      </c>
      <c r="D1850" t="s">
        <v>2673</v>
      </c>
      <c r="E1850" s="17">
        <v>0.5</v>
      </c>
      <c r="F1850" t="s">
        <v>2674</v>
      </c>
      <c r="G1850">
        <v>0.5</v>
      </c>
      <c r="Q1850" s="1"/>
      <c r="R1850" s="1"/>
    </row>
    <row r="1851" spans="1:18" ht="15.75" customHeight="1" x14ac:dyDescent="0.25">
      <c r="A1851" s="2">
        <v>5444274</v>
      </c>
      <c r="B1851">
        <v>5444274</v>
      </c>
      <c r="C1851" t="str">
        <f>HYPERLINK("https://ois.dk/map/5444274/sfe", "Link")</f>
        <v>Link</v>
      </c>
      <c r="D1851" t="s">
        <v>2675</v>
      </c>
      <c r="E1851" s="17">
        <v>1.75</v>
      </c>
      <c r="F1851" t="s">
        <v>2676</v>
      </c>
      <c r="G1851">
        <v>0.5</v>
      </c>
      <c r="H1851">
        <v>0.25</v>
      </c>
      <c r="I1851">
        <v>1</v>
      </c>
      <c r="Q1851" s="1"/>
      <c r="R1851" s="1">
        <v>1.0900000000000001</v>
      </c>
    </row>
    <row r="1852" spans="1:18" ht="15.75" customHeight="1" x14ac:dyDescent="0.25">
      <c r="A1852" s="2">
        <v>5444275</v>
      </c>
      <c r="B1852">
        <v>5444275</v>
      </c>
      <c r="C1852" t="str">
        <f>HYPERLINK("https://ois.dk/map/5444275/sfe", "Link")</f>
        <v>Link</v>
      </c>
      <c r="D1852" t="s">
        <v>2677</v>
      </c>
      <c r="E1852" s="17">
        <v>0.5</v>
      </c>
      <c r="F1852" t="s">
        <v>2678</v>
      </c>
      <c r="G1852">
        <v>0.5</v>
      </c>
      <c r="Q1852" s="1"/>
      <c r="R1852" s="1"/>
    </row>
    <row r="1853" spans="1:18" ht="15.75" customHeight="1" x14ac:dyDescent="0.25">
      <c r="A1853" s="2">
        <v>5444276</v>
      </c>
      <c r="B1853">
        <v>5444276</v>
      </c>
      <c r="C1853" t="str">
        <f>HYPERLINK("https://ois.dk/map/5444276/sfe", "Link")</f>
        <v>Link</v>
      </c>
      <c r="D1853" t="s">
        <v>2679</v>
      </c>
      <c r="E1853" s="17">
        <v>0.75</v>
      </c>
      <c r="F1853" t="s">
        <v>2680</v>
      </c>
      <c r="G1853">
        <v>0.5</v>
      </c>
      <c r="H1853">
        <v>0.25</v>
      </c>
      <c r="Q1853" s="1"/>
      <c r="R1853" s="1"/>
    </row>
    <row r="1854" spans="1:18" ht="15.75" customHeight="1" x14ac:dyDescent="0.25">
      <c r="A1854" s="2">
        <v>5444277</v>
      </c>
      <c r="B1854">
        <v>5444277</v>
      </c>
      <c r="C1854" t="str">
        <f>HYPERLINK("https://ois.dk/map/5444277/sfe", "Link")</f>
        <v>Link</v>
      </c>
      <c r="D1854" t="s">
        <v>2681</v>
      </c>
      <c r="E1854" s="17">
        <v>0.75</v>
      </c>
      <c r="F1854" t="s">
        <v>2682</v>
      </c>
      <c r="G1854">
        <v>0.5</v>
      </c>
      <c r="H1854">
        <v>0.25</v>
      </c>
      <c r="Q1854" s="1"/>
      <c r="R1854" s="1"/>
    </row>
    <row r="1855" spans="1:18" ht="15.75" customHeight="1" x14ac:dyDescent="0.25">
      <c r="A1855" s="2">
        <v>5444282</v>
      </c>
      <c r="B1855">
        <v>5444282</v>
      </c>
      <c r="C1855" t="str">
        <f>HYPERLINK("https://ois.dk/map/5444282/sfe", "Link")</f>
        <v>Link</v>
      </c>
      <c r="D1855" t="s">
        <v>2683</v>
      </c>
      <c r="E1855" s="17">
        <v>0.5</v>
      </c>
      <c r="F1855" t="s">
        <v>2684</v>
      </c>
      <c r="G1855">
        <v>0.5</v>
      </c>
      <c r="Q1855" s="1"/>
      <c r="R1855" s="1"/>
    </row>
    <row r="1856" spans="1:18" ht="15.75" customHeight="1" x14ac:dyDescent="0.25">
      <c r="A1856" s="2">
        <v>5444283</v>
      </c>
      <c r="B1856">
        <v>5444283</v>
      </c>
      <c r="C1856" t="str">
        <f>HYPERLINK("https://ois.dk/map/5444283/sfe", "Link")</f>
        <v>Link</v>
      </c>
      <c r="D1856" t="s">
        <v>2685</v>
      </c>
      <c r="E1856" s="17">
        <v>0.5</v>
      </c>
      <c r="F1856" t="s">
        <v>2686</v>
      </c>
      <c r="G1856">
        <v>0.5</v>
      </c>
      <c r="Q1856" s="1"/>
      <c r="R1856" s="1"/>
    </row>
    <row r="1857" spans="1:18" ht="15.75" customHeight="1" x14ac:dyDescent="0.25">
      <c r="A1857" s="2">
        <v>5444284</v>
      </c>
      <c r="B1857">
        <v>5444284</v>
      </c>
      <c r="C1857" t="str">
        <f>HYPERLINK("https://ois.dk/map/5444284/sfe", "Link")</f>
        <v>Link</v>
      </c>
      <c r="D1857" t="s">
        <v>2687</v>
      </c>
      <c r="E1857" s="17">
        <v>0.5</v>
      </c>
      <c r="F1857" t="s">
        <v>2688</v>
      </c>
      <c r="G1857">
        <v>0.5</v>
      </c>
      <c r="Q1857" s="1"/>
      <c r="R1857" s="1"/>
    </row>
    <row r="1858" spans="1:18" ht="15.75" customHeight="1" x14ac:dyDescent="0.25">
      <c r="A1858" s="2">
        <v>5444286</v>
      </c>
      <c r="B1858">
        <v>5444286</v>
      </c>
      <c r="C1858" t="str">
        <f>HYPERLINK("https://ois.dk/map/5444286/sfe", "Link")</f>
        <v>Link</v>
      </c>
      <c r="D1858" t="s">
        <v>2689</v>
      </c>
      <c r="E1858" s="17">
        <v>0.5</v>
      </c>
      <c r="F1858" t="s">
        <v>2690</v>
      </c>
      <c r="G1858">
        <v>0.5</v>
      </c>
      <c r="Q1858" s="1"/>
      <c r="R1858" s="1"/>
    </row>
    <row r="1859" spans="1:18" ht="15.75" customHeight="1" x14ac:dyDescent="0.25">
      <c r="A1859" s="2">
        <v>5444287</v>
      </c>
      <c r="B1859">
        <v>5444287</v>
      </c>
      <c r="C1859" t="str">
        <f>HYPERLINK("https://ois.dk/map/5444287/sfe", "Link")</f>
        <v>Link</v>
      </c>
      <c r="D1859" t="s">
        <v>2691</v>
      </c>
      <c r="E1859" s="17">
        <v>0.5</v>
      </c>
      <c r="F1859" t="s">
        <v>2692</v>
      </c>
      <c r="G1859">
        <v>0.5</v>
      </c>
      <c r="Q1859" s="1"/>
      <c r="R1859" s="1"/>
    </row>
    <row r="1860" spans="1:18" ht="15.75" customHeight="1" x14ac:dyDescent="0.25">
      <c r="A1860" s="2">
        <v>5444287</v>
      </c>
      <c r="B1860">
        <v>5444287</v>
      </c>
      <c r="C1860" t="str">
        <f>HYPERLINK("https://ois.dk/map/5444287/sfe", "Link")</f>
        <v>Link</v>
      </c>
      <c r="D1860" t="s">
        <v>2691</v>
      </c>
      <c r="E1860" s="17">
        <v>0.5</v>
      </c>
      <c r="F1860" t="s">
        <v>2693</v>
      </c>
      <c r="G1860">
        <v>0.5</v>
      </c>
      <c r="Q1860" s="1"/>
      <c r="R1860" s="1"/>
    </row>
    <row r="1861" spans="1:18" ht="15.75" customHeight="1" x14ac:dyDescent="0.25">
      <c r="A1861" s="2">
        <v>5444288</v>
      </c>
      <c r="B1861">
        <v>5444288</v>
      </c>
      <c r="C1861" t="str">
        <f>HYPERLINK("https://ois.dk/map/5444288/sfe", "Link")</f>
        <v>Link</v>
      </c>
      <c r="D1861" t="s">
        <v>2694</v>
      </c>
      <c r="E1861" s="17">
        <v>0.5</v>
      </c>
      <c r="F1861" t="s">
        <v>2695</v>
      </c>
      <c r="G1861">
        <v>0.5</v>
      </c>
      <c r="Q1861" s="1"/>
      <c r="R1861" s="1"/>
    </row>
    <row r="1862" spans="1:18" ht="15.75" customHeight="1" x14ac:dyDescent="0.25">
      <c r="A1862" s="2">
        <v>5444290</v>
      </c>
      <c r="B1862">
        <v>5444290</v>
      </c>
      <c r="C1862" t="str">
        <f>HYPERLINK("https://ois.dk/map/5444290/sfe", "Link")</f>
        <v>Link</v>
      </c>
      <c r="D1862" t="s">
        <v>2696</v>
      </c>
      <c r="E1862" s="17">
        <v>0.75</v>
      </c>
      <c r="F1862" t="s">
        <v>2697</v>
      </c>
      <c r="G1862">
        <v>0.5</v>
      </c>
      <c r="H1862">
        <v>0.25</v>
      </c>
      <c r="Q1862" s="1"/>
      <c r="R1862" s="1"/>
    </row>
    <row r="1863" spans="1:18" ht="15.75" customHeight="1" x14ac:dyDescent="0.25">
      <c r="A1863" s="2">
        <v>5444291</v>
      </c>
      <c r="B1863">
        <v>5444291</v>
      </c>
      <c r="C1863" t="str">
        <f>HYPERLINK("https://ois.dk/map/5444291/sfe", "Link")</f>
        <v>Link</v>
      </c>
      <c r="D1863" t="s">
        <v>2698</v>
      </c>
      <c r="E1863" s="17">
        <v>0.5</v>
      </c>
      <c r="F1863" t="s">
        <v>2699</v>
      </c>
      <c r="G1863">
        <v>0.5</v>
      </c>
      <c r="Q1863" s="1"/>
      <c r="R1863" s="1"/>
    </row>
    <row r="1864" spans="1:18" ht="15.75" customHeight="1" x14ac:dyDescent="0.25">
      <c r="A1864" s="2">
        <v>5444292</v>
      </c>
      <c r="B1864">
        <v>5444292</v>
      </c>
      <c r="C1864" t="str">
        <f>HYPERLINK("https://ois.dk/map/5444292/sfe", "Link")</f>
        <v>Link</v>
      </c>
      <c r="D1864" t="s">
        <v>2700</v>
      </c>
      <c r="E1864" s="17">
        <v>0.5</v>
      </c>
      <c r="F1864" t="s">
        <v>2701</v>
      </c>
      <c r="G1864">
        <v>0.5</v>
      </c>
      <c r="Q1864" s="1"/>
      <c r="R1864" s="1"/>
    </row>
    <row r="1865" spans="1:18" ht="15.75" customHeight="1" x14ac:dyDescent="0.25">
      <c r="A1865" s="2">
        <v>5444293</v>
      </c>
      <c r="B1865">
        <v>5444293</v>
      </c>
      <c r="C1865" t="str">
        <f>HYPERLINK("https://ois.dk/map/5444293/sfe", "Link")</f>
        <v>Link</v>
      </c>
      <c r="D1865" t="s">
        <v>2702</v>
      </c>
      <c r="E1865" s="17">
        <v>0.5</v>
      </c>
      <c r="F1865" t="s">
        <v>2703</v>
      </c>
      <c r="G1865">
        <v>0.5</v>
      </c>
      <c r="Q1865" s="1"/>
      <c r="R1865" s="1"/>
    </row>
    <row r="1866" spans="1:18" ht="15.75" customHeight="1" x14ac:dyDescent="0.25">
      <c r="A1866" s="2">
        <v>5444294</v>
      </c>
      <c r="B1866">
        <v>5444294</v>
      </c>
      <c r="C1866" t="str">
        <f>HYPERLINK("https://ois.dk/map/5444294/sfe", "Link")</f>
        <v>Link</v>
      </c>
      <c r="D1866" t="s">
        <v>2704</v>
      </c>
      <c r="E1866" s="17">
        <v>0.5</v>
      </c>
      <c r="F1866" t="s">
        <v>2705</v>
      </c>
      <c r="G1866">
        <v>0.5</v>
      </c>
      <c r="Q1866" s="1"/>
      <c r="R1866" s="1"/>
    </row>
    <row r="1867" spans="1:18" ht="15.75" customHeight="1" x14ac:dyDescent="0.25">
      <c r="A1867" s="2">
        <v>5444295</v>
      </c>
      <c r="B1867">
        <v>5444295</v>
      </c>
      <c r="C1867" t="str">
        <f>HYPERLINK("https://ois.dk/map/5444295/sfe", "Link")</f>
        <v>Link</v>
      </c>
      <c r="D1867" t="s">
        <v>2706</v>
      </c>
      <c r="E1867" s="17">
        <v>0.5</v>
      </c>
      <c r="F1867" t="s">
        <v>2707</v>
      </c>
      <c r="G1867">
        <v>0.5</v>
      </c>
      <c r="Q1867" s="1"/>
      <c r="R1867" s="1"/>
    </row>
    <row r="1868" spans="1:18" ht="15.75" customHeight="1" x14ac:dyDescent="0.25">
      <c r="A1868" s="2">
        <v>5444296</v>
      </c>
      <c r="B1868">
        <v>5444296</v>
      </c>
      <c r="C1868" t="str">
        <f>HYPERLINK("https://ois.dk/map/5444296/sfe", "Link")</f>
        <v>Link</v>
      </c>
      <c r="D1868" t="s">
        <v>2708</v>
      </c>
      <c r="E1868" s="17">
        <v>0.5</v>
      </c>
      <c r="F1868" t="s">
        <v>2709</v>
      </c>
      <c r="G1868">
        <v>0.5</v>
      </c>
      <c r="Q1868" s="1"/>
      <c r="R1868" s="1"/>
    </row>
    <row r="1869" spans="1:18" ht="15.75" customHeight="1" x14ac:dyDescent="0.25">
      <c r="A1869" s="2">
        <v>5444297</v>
      </c>
      <c r="B1869">
        <v>5444297</v>
      </c>
      <c r="C1869" t="str">
        <f>HYPERLINK("https://ois.dk/map/5444297/sfe", "Link")</f>
        <v>Link</v>
      </c>
      <c r="D1869" t="s">
        <v>2710</v>
      </c>
      <c r="E1869" s="17">
        <v>0.5</v>
      </c>
      <c r="F1869" t="s">
        <v>2711</v>
      </c>
      <c r="G1869">
        <v>0.5</v>
      </c>
      <c r="Q1869" s="1"/>
      <c r="R1869" s="1"/>
    </row>
    <row r="1870" spans="1:18" ht="15.75" customHeight="1" x14ac:dyDescent="0.25">
      <c r="A1870" s="2">
        <v>5444298</v>
      </c>
      <c r="B1870">
        <v>5444298</v>
      </c>
      <c r="C1870" t="str">
        <f>HYPERLINK("https://ois.dk/map/5444298/sfe", "Link")</f>
        <v>Link</v>
      </c>
      <c r="D1870" t="s">
        <v>2712</v>
      </c>
      <c r="E1870" s="17">
        <v>0.5</v>
      </c>
      <c r="F1870" t="s">
        <v>2713</v>
      </c>
      <c r="G1870">
        <v>0.5</v>
      </c>
      <c r="Q1870" s="1"/>
      <c r="R1870" s="1"/>
    </row>
    <row r="1871" spans="1:18" ht="15.75" customHeight="1" x14ac:dyDescent="0.25">
      <c r="A1871" s="2">
        <v>5444299</v>
      </c>
      <c r="B1871">
        <v>5444299</v>
      </c>
      <c r="C1871" t="str">
        <f>HYPERLINK("https://ois.dk/map/5444299/sfe", "Link")</f>
        <v>Link</v>
      </c>
      <c r="D1871" t="s">
        <v>2714</v>
      </c>
      <c r="E1871" s="17">
        <v>0.5</v>
      </c>
      <c r="F1871" t="s">
        <v>2715</v>
      </c>
      <c r="G1871">
        <v>0.5</v>
      </c>
      <c r="Q1871" s="1"/>
      <c r="R1871" s="1"/>
    </row>
    <row r="1872" spans="1:18" ht="15.75" customHeight="1" x14ac:dyDescent="0.25">
      <c r="A1872" s="2">
        <v>5444300</v>
      </c>
      <c r="B1872">
        <v>5444300</v>
      </c>
      <c r="C1872" t="str">
        <f>HYPERLINK("https://ois.dk/map/5444300/sfe", "Link")</f>
        <v>Link</v>
      </c>
      <c r="D1872" t="s">
        <v>2716</v>
      </c>
      <c r="E1872" s="17">
        <v>0.5</v>
      </c>
      <c r="F1872" t="s">
        <v>2717</v>
      </c>
      <c r="G1872">
        <v>0.5</v>
      </c>
      <c r="Q1872" s="1"/>
      <c r="R1872" s="1"/>
    </row>
    <row r="1873" spans="1:18" ht="15.75" customHeight="1" x14ac:dyDescent="0.25">
      <c r="A1873" s="2">
        <v>5444301</v>
      </c>
      <c r="B1873">
        <v>5444301</v>
      </c>
      <c r="C1873" t="str">
        <f>HYPERLINK("https://ois.dk/map/5444301/sfe", "Link")</f>
        <v>Link</v>
      </c>
      <c r="D1873" t="s">
        <v>2718</v>
      </c>
      <c r="E1873" s="17">
        <v>0.5</v>
      </c>
      <c r="F1873" t="s">
        <v>2719</v>
      </c>
      <c r="G1873">
        <v>0.5</v>
      </c>
      <c r="Q1873" s="1"/>
      <c r="R1873" s="1"/>
    </row>
    <row r="1874" spans="1:18" ht="15.75" customHeight="1" x14ac:dyDescent="0.25">
      <c r="A1874" s="2">
        <v>5444302</v>
      </c>
      <c r="B1874">
        <v>5444302</v>
      </c>
      <c r="C1874" t="str">
        <f>HYPERLINK("https://ois.dk/map/5444302/sfe", "Link")</f>
        <v>Link</v>
      </c>
      <c r="D1874" t="s">
        <v>2720</v>
      </c>
      <c r="E1874" s="17">
        <v>0.5</v>
      </c>
      <c r="F1874" t="s">
        <v>2721</v>
      </c>
      <c r="G1874">
        <v>0.5</v>
      </c>
      <c r="Q1874" s="1"/>
      <c r="R1874" s="1"/>
    </row>
    <row r="1875" spans="1:18" ht="15.75" customHeight="1" x14ac:dyDescent="0.25">
      <c r="A1875" s="2">
        <v>5444303</v>
      </c>
      <c r="B1875">
        <v>5444303</v>
      </c>
      <c r="C1875" t="str">
        <f>HYPERLINK("https://ois.dk/map/5444303/sfe", "Link")</f>
        <v>Link</v>
      </c>
      <c r="D1875" t="s">
        <v>2722</v>
      </c>
      <c r="E1875" s="17">
        <v>0.5</v>
      </c>
      <c r="F1875" t="s">
        <v>2723</v>
      </c>
      <c r="G1875">
        <v>0.5</v>
      </c>
      <c r="Q1875" s="1"/>
      <c r="R1875" s="1"/>
    </row>
    <row r="1876" spans="1:18" ht="15.75" customHeight="1" x14ac:dyDescent="0.25">
      <c r="A1876" s="2">
        <v>5444304</v>
      </c>
      <c r="B1876">
        <v>5444304</v>
      </c>
      <c r="C1876" t="str">
        <f>HYPERLINK("https://ois.dk/map/5444304/sfe", "Link")</f>
        <v>Link</v>
      </c>
      <c r="D1876" t="s">
        <v>2724</v>
      </c>
      <c r="E1876" s="17">
        <v>0.5</v>
      </c>
      <c r="F1876" t="s">
        <v>2725</v>
      </c>
      <c r="G1876">
        <v>0.5</v>
      </c>
      <c r="Q1876" s="1"/>
      <c r="R1876" s="1"/>
    </row>
    <row r="1877" spans="1:18" ht="15.75" customHeight="1" x14ac:dyDescent="0.25">
      <c r="A1877" s="2">
        <v>5444305</v>
      </c>
      <c r="B1877">
        <v>5444305</v>
      </c>
      <c r="C1877" t="str">
        <f>HYPERLINK("https://ois.dk/map/5444305/sfe", "Link")</f>
        <v>Link</v>
      </c>
      <c r="D1877" t="s">
        <v>2726</v>
      </c>
      <c r="E1877" s="17">
        <v>0.5</v>
      </c>
      <c r="F1877" t="s">
        <v>2727</v>
      </c>
      <c r="G1877">
        <v>0.5</v>
      </c>
      <c r="Q1877" s="1"/>
      <c r="R1877" s="1"/>
    </row>
    <row r="1878" spans="1:18" ht="15.75" customHeight="1" x14ac:dyDescent="0.25">
      <c r="A1878" s="2">
        <v>5444306</v>
      </c>
      <c r="B1878">
        <v>5444306</v>
      </c>
      <c r="C1878" t="str">
        <f>HYPERLINK("https://ois.dk/map/5444306/sfe", "Link")</f>
        <v>Link</v>
      </c>
      <c r="D1878" t="s">
        <v>2728</v>
      </c>
      <c r="E1878" s="17">
        <v>0.5</v>
      </c>
      <c r="F1878" t="s">
        <v>2729</v>
      </c>
      <c r="G1878">
        <v>0.5</v>
      </c>
      <c r="Q1878" s="1"/>
      <c r="R1878" s="1"/>
    </row>
    <row r="1879" spans="1:18" ht="15.75" customHeight="1" x14ac:dyDescent="0.25">
      <c r="A1879" s="2">
        <v>5444307</v>
      </c>
      <c r="B1879">
        <v>5444307</v>
      </c>
      <c r="C1879" t="str">
        <f>HYPERLINK("https://ois.dk/map/5444307/sfe", "Link")</f>
        <v>Link</v>
      </c>
      <c r="D1879" t="s">
        <v>2730</v>
      </c>
      <c r="E1879" s="17">
        <v>0.5</v>
      </c>
      <c r="F1879" t="s">
        <v>2731</v>
      </c>
      <c r="G1879">
        <v>0.5</v>
      </c>
      <c r="Q1879" s="1"/>
      <c r="R1879" s="1"/>
    </row>
    <row r="1880" spans="1:18" ht="15.75" customHeight="1" x14ac:dyDescent="0.25">
      <c r="A1880" s="2">
        <v>5444310</v>
      </c>
      <c r="B1880">
        <v>5444310</v>
      </c>
      <c r="C1880" t="str">
        <f>HYPERLINK("https://ois.dk/map/5444310/sfe", "Link")</f>
        <v>Link</v>
      </c>
      <c r="D1880" t="s">
        <v>2732</v>
      </c>
      <c r="E1880" s="17">
        <v>0.5</v>
      </c>
      <c r="F1880" t="s">
        <v>2733</v>
      </c>
      <c r="G1880">
        <v>0.5</v>
      </c>
      <c r="Q1880" s="1"/>
      <c r="R1880" s="1"/>
    </row>
    <row r="1881" spans="1:18" ht="15.75" customHeight="1" x14ac:dyDescent="0.25">
      <c r="A1881" s="2">
        <v>5444311</v>
      </c>
      <c r="B1881">
        <v>5444311</v>
      </c>
      <c r="C1881" t="str">
        <f>HYPERLINK("https://ois.dk/map/5444311/sfe", "Link")</f>
        <v>Link</v>
      </c>
      <c r="D1881" t="s">
        <v>2734</v>
      </c>
      <c r="E1881" s="17">
        <v>0.5</v>
      </c>
      <c r="F1881" t="s">
        <v>2735</v>
      </c>
      <c r="G1881">
        <v>0.5</v>
      </c>
      <c r="Q1881" s="1"/>
      <c r="R1881" s="1"/>
    </row>
    <row r="1882" spans="1:18" ht="15.75" customHeight="1" x14ac:dyDescent="0.25">
      <c r="A1882" s="2">
        <v>5444312</v>
      </c>
      <c r="B1882">
        <v>5444312</v>
      </c>
      <c r="C1882" t="str">
        <f>HYPERLINK("https://ois.dk/map/5444312/sfe", "Link")</f>
        <v>Link</v>
      </c>
      <c r="D1882" t="s">
        <v>2736</v>
      </c>
      <c r="E1882" s="17">
        <v>0.5</v>
      </c>
      <c r="F1882" t="s">
        <v>2737</v>
      </c>
      <c r="G1882">
        <v>0.5</v>
      </c>
      <c r="Q1882" s="1"/>
      <c r="R1882" s="1"/>
    </row>
    <row r="1883" spans="1:18" ht="15.75" customHeight="1" x14ac:dyDescent="0.25">
      <c r="A1883" s="2">
        <v>5444314</v>
      </c>
      <c r="B1883">
        <v>5444314</v>
      </c>
      <c r="C1883" t="str">
        <f>HYPERLINK("https://ois.dk/map/5444314/sfe", "Link")</f>
        <v>Link</v>
      </c>
      <c r="D1883" t="s">
        <v>2738</v>
      </c>
      <c r="E1883" s="17">
        <v>0.5</v>
      </c>
      <c r="F1883" t="s">
        <v>2739</v>
      </c>
      <c r="G1883">
        <v>0.5</v>
      </c>
      <c r="Q1883" s="1"/>
      <c r="R1883" s="1"/>
    </row>
    <row r="1884" spans="1:18" ht="15.75" customHeight="1" x14ac:dyDescent="0.25">
      <c r="A1884" s="2">
        <v>5444315</v>
      </c>
      <c r="B1884">
        <v>5444315</v>
      </c>
      <c r="C1884" t="str">
        <f>HYPERLINK("https://ois.dk/map/5444315/sfe", "Link")</f>
        <v>Link</v>
      </c>
      <c r="D1884" t="s">
        <v>2740</v>
      </c>
      <c r="E1884" s="17">
        <v>0.5</v>
      </c>
      <c r="F1884" t="s">
        <v>2741</v>
      </c>
      <c r="G1884">
        <v>0.5</v>
      </c>
      <c r="Q1884" s="1"/>
      <c r="R1884" s="1"/>
    </row>
    <row r="1885" spans="1:18" ht="15.75" customHeight="1" x14ac:dyDescent="0.25">
      <c r="A1885" s="2">
        <v>5444319</v>
      </c>
      <c r="B1885">
        <v>5444319</v>
      </c>
      <c r="C1885" t="str">
        <f>HYPERLINK("https://ois.dk/map/5444319/sfe", "Link")</f>
        <v>Link</v>
      </c>
      <c r="D1885" t="s">
        <v>2742</v>
      </c>
      <c r="E1885" s="17">
        <v>0.5</v>
      </c>
      <c r="F1885" t="s">
        <v>2743</v>
      </c>
      <c r="G1885">
        <v>0.5</v>
      </c>
      <c r="Q1885" s="1"/>
      <c r="R1885" s="1"/>
    </row>
    <row r="1886" spans="1:18" ht="15.75" customHeight="1" x14ac:dyDescent="0.25">
      <c r="A1886" s="2">
        <v>5444319</v>
      </c>
      <c r="B1886">
        <v>5444319</v>
      </c>
      <c r="C1886" t="str">
        <f>HYPERLINK("https://ois.dk/map/5444319/sfe", "Link")</f>
        <v>Link</v>
      </c>
      <c r="D1886" t="s">
        <v>2742</v>
      </c>
      <c r="E1886" s="17">
        <v>0.5</v>
      </c>
      <c r="F1886" t="s">
        <v>2744</v>
      </c>
      <c r="G1886">
        <v>0.5</v>
      </c>
      <c r="Q1886" s="1"/>
      <c r="R1886" s="1"/>
    </row>
    <row r="1887" spans="1:18" ht="15.75" customHeight="1" x14ac:dyDescent="0.25">
      <c r="A1887" s="2">
        <v>5444331</v>
      </c>
      <c r="B1887">
        <v>5444331</v>
      </c>
      <c r="C1887" t="str">
        <f>HYPERLINK("https://ois.dk/map/5444331/sfe", "Link")</f>
        <v>Link</v>
      </c>
      <c r="D1887" t="s">
        <v>2745</v>
      </c>
      <c r="E1887" s="17">
        <v>0.5</v>
      </c>
      <c r="F1887" t="s">
        <v>2746</v>
      </c>
      <c r="G1887">
        <v>0.5</v>
      </c>
      <c r="Q1887" s="1"/>
      <c r="R1887" s="1"/>
    </row>
    <row r="1888" spans="1:18" ht="15.75" customHeight="1" x14ac:dyDescent="0.25">
      <c r="A1888" s="2">
        <v>5444333</v>
      </c>
      <c r="B1888">
        <v>5444333</v>
      </c>
      <c r="C1888" t="str">
        <f>HYPERLINK("https://ois.dk/map/5444333/sfe", "Link")</f>
        <v>Link</v>
      </c>
      <c r="D1888" t="s">
        <v>2747</v>
      </c>
      <c r="E1888" s="17">
        <v>0.5</v>
      </c>
      <c r="F1888" t="s">
        <v>2748</v>
      </c>
      <c r="G1888">
        <v>0.5</v>
      </c>
      <c r="Q1888" s="1"/>
      <c r="R1888" s="1"/>
    </row>
    <row r="1889" spans="1:19" ht="15.75" customHeight="1" x14ac:dyDescent="0.25">
      <c r="A1889" s="2">
        <v>5444335</v>
      </c>
      <c r="B1889">
        <v>5444335</v>
      </c>
      <c r="C1889" t="str">
        <f>HYPERLINK("https://ois.dk/map/5444335/sfe", "Link")</f>
        <v>Link</v>
      </c>
      <c r="D1889" t="s">
        <v>2749</v>
      </c>
      <c r="E1889" s="17">
        <v>0.5</v>
      </c>
      <c r="F1889" t="s">
        <v>2750</v>
      </c>
      <c r="G1889">
        <v>0.5</v>
      </c>
      <c r="Q1889" s="1"/>
      <c r="R1889" s="1"/>
    </row>
    <row r="1890" spans="1:19" ht="15.75" customHeight="1" x14ac:dyDescent="0.25">
      <c r="A1890" s="2">
        <v>5444336</v>
      </c>
      <c r="B1890">
        <v>5444336</v>
      </c>
      <c r="C1890" t="str">
        <f>HYPERLINK("https://ois.dk/map/5444336/sfe", "Link")</f>
        <v>Link</v>
      </c>
      <c r="D1890" t="s">
        <v>2751</v>
      </c>
      <c r="E1890" s="17">
        <v>0.5</v>
      </c>
      <c r="F1890" t="s">
        <v>2752</v>
      </c>
      <c r="G1890">
        <v>0.5</v>
      </c>
      <c r="Q1890" s="1"/>
      <c r="R1890" s="1"/>
    </row>
    <row r="1891" spans="1:19" ht="15.75" customHeight="1" x14ac:dyDescent="0.25">
      <c r="A1891" s="2">
        <v>5444337</v>
      </c>
      <c r="B1891">
        <v>5444337</v>
      </c>
      <c r="C1891" t="str">
        <f>HYPERLINK("https://ois.dk/map/5444337/sfe", "Link")</f>
        <v>Link</v>
      </c>
      <c r="D1891" t="s">
        <v>2753</v>
      </c>
      <c r="E1891" s="17">
        <v>0.5</v>
      </c>
      <c r="F1891" t="s">
        <v>2754</v>
      </c>
      <c r="G1891">
        <v>0.5</v>
      </c>
      <c r="Q1891" s="1"/>
      <c r="R1891" s="1"/>
    </row>
    <row r="1892" spans="1:19" ht="15.75" customHeight="1" x14ac:dyDescent="0.25">
      <c r="A1892" s="2">
        <v>5444339</v>
      </c>
      <c r="B1892">
        <v>5444339</v>
      </c>
      <c r="C1892" t="str">
        <f>HYPERLINK("https://ois.dk/map/5444339/sfe", "Link")</f>
        <v>Link</v>
      </c>
      <c r="D1892" t="s">
        <v>2755</v>
      </c>
      <c r="E1892" s="17">
        <v>0.5</v>
      </c>
      <c r="F1892" t="s">
        <v>2756</v>
      </c>
      <c r="G1892">
        <v>0.5</v>
      </c>
      <c r="Q1892" s="1"/>
      <c r="R1892" s="1"/>
    </row>
    <row r="1893" spans="1:19" ht="15.75" customHeight="1" x14ac:dyDescent="0.25">
      <c r="A1893" s="2">
        <v>5444343</v>
      </c>
      <c r="B1893">
        <v>5444343</v>
      </c>
      <c r="C1893" t="str">
        <f>HYPERLINK("https://ois.dk/map/5444343/sfe", "Link")</f>
        <v>Link</v>
      </c>
      <c r="D1893" t="s">
        <v>2757</v>
      </c>
      <c r="E1893" s="17">
        <v>0.5</v>
      </c>
      <c r="F1893" t="s">
        <v>2758</v>
      </c>
      <c r="G1893">
        <v>0.5</v>
      </c>
      <c r="Q1893" s="1"/>
      <c r="R1893" s="1"/>
    </row>
    <row r="1894" spans="1:19" ht="15.75" customHeight="1" x14ac:dyDescent="0.25">
      <c r="A1894" s="2">
        <v>5444346</v>
      </c>
      <c r="B1894">
        <v>5444346</v>
      </c>
      <c r="C1894" t="str">
        <f>HYPERLINK("https://ois.dk/map/5444346/sfe", "Link")</f>
        <v>Link</v>
      </c>
      <c r="D1894" t="s">
        <v>2759</v>
      </c>
      <c r="E1894" s="17">
        <v>0.5</v>
      </c>
      <c r="F1894" t="s">
        <v>2760</v>
      </c>
      <c r="G1894">
        <v>0.5</v>
      </c>
      <c r="Q1894" s="1"/>
      <c r="R1894" s="1"/>
    </row>
    <row r="1895" spans="1:19" ht="15.75" customHeight="1" x14ac:dyDescent="0.25">
      <c r="A1895" s="2">
        <v>5444351</v>
      </c>
      <c r="B1895">
        <v>5444351</v>
      </c>
      <c r="C1895" t="str">
        <f>HYPERLINK("https://ois.dk/map/5444351/sfe", "Link")</f>
        <v>Link</v>
      </c>
      <c r="D1895" t="s">
        <v>2761</v>
      </c>
      <c r="E1895" s="17">
        <v>0.5</v>
      </c>
      <c r="G1895">
        <v>0.5</v>
      </c>
      <c r="Q1895" s="1"/>
      <c r="R1895" s="1"/>
    </row>
    <row r="1896" spans="1:19" ht="15.75" customHeight="1" x14ac:dyDescent="0.25">
      <c r="A1896" s="2">
        <v>5444356</v>
      </c>
      <c r="B1896">
        <v>5444356</v>
      </c>
      <c r="C1896" t="str">
        <f>HYPERLINK("https://ois.dk/map/5444356/sfe", "Link")</f>
        <v>Link</v>
      </c>
      <c r="D1896" t="s">
        <v>2762</v>
      </c>
      <c r="E1896" s="17">
        <v>2.0499999999999998</v>
      </c>
      <c r="F1896" t="s">
        <v>2763</v>
      </c>
      <c r="G1896">
        <v>0.5</v>
      </c>
      <c r="H1896">
        <v>0.25</v>
      </c>
      <c r="I1896">
        <v>1</v>
      </c>
      <c r="J1896">
        <v>0.3</v>
      </c>
      <c r="Q1896" s="1"/>
      <c r="R1896" s="1">
        <v>1.57</v>
      </c>
      <c r="S1896">
        <v>1.26</v>
      </c>
    </row>
    <row r="1897" spans="1:19" ht="15.75" customHeight="1" x14ac:dyDescent="0.25">
      <c r="A1897" s="2">
        <v>5444357</v>
      </c>
      <c r="B1897">
        <v>5444357</v>
      </c>
      <c r="C1897" t="str">
        <f t="shared" ref="C1897:C1913" si="52">HYPERLINK("https://ois.dk/map/5444357/sfe", "Link")</f>
        <v>Link</v>
      </c>
      <c r="D1897" t="s">
        <v>2764</v>
      </c>
      <c r="E1897" s="17">
        <v>0.25</v>
      </c>
      <c r="F1897" t="s">
        <v>2765</v>
      </c>
      <c r="H1897">
        <v>0.25</v>
      </c>
      <c r="Q1897" s="1"/>
      <c r="R1897" s="1">
        <v>0.81</v>
      </c>
    </row>
    <row r="1898" spans="1:19" ht="15.75" customHeight="1" x14ac:dyDescent="0.25">
      <c r="A1898" s="2">
        <v>5444357</v>
      </c>
      <c r="B1898">
        <v>5444357</v>
      </c>
      <c r="C1898" t="str">
        <f t="shared" si="52"/>
        <v>Link</v>
      </c>
      <c r="D1898" t="s">
        <v>2764</v>
      </c>
      <c r="E1898" s="17">
        <v>1.5</v>
      </c>
      <c r="F1898" t="s">
        <v>2766</v>
      </c>
      <c r="G1898">
        <v>0.5</v>
      </c>
      <c r="I1898">
        <v>1</v>
      </c>
      <c r="Q1898" s="1"/>
      <c r="R1898" s="1">
        <v>1.06</v>
      </c>
    </row>
    <row r="1899" spans="1:19" ht="15.75" customHeight="1" x14ac:dyDescent="0.25">
      <c r="A1899" s="2">
        <v>5444357</v>
      </c>
      <c r="B1899">
        <v>5444357</v>
      </c>
      <c r="C1899" t="str">
        <f t="shared" si="52"/>
        <v>Link</v>
      </c>
      <c r="D1899" t="s">
        <v>2764</v>
      </c>
      <c r="E1899" s="17">
        <v>1.5</v>
      </c>
      <c r="F1899" t="s">
        <v>2767</v>
      </c>
      <c r="G1899">
        <v>0.5</v>
      </c>
      <c r="I1899">
        <v>1</v>
      </c>
      <c r="Q1899" s="1"/>
      <c r="R1899" s="1">
        <v>1.06</v>
      </c>
    </row>
    <row r="1900" spans="1:19" ht="15.75" customHeight="1" x14ac:dyDescent="0.25">
      <c r="A1900" s="2">
        <v>5444357</v>
      </c>
      <c r="B1900">
        <v>5444357</v>
      </c>
      <c r="C1900" t="str">
        <f t="shared" si="52"/>
        <v>Link</v>
      </c>
      <c r="D1900" t="s">
        <v>2764</v>
      </c>
      <c r="E1900" s="17">
        <v>1.5</v>
      </c>
      <c r="F1900" t="s">
        <v>2768</v>
      </c>
      <c r="G1900">
        <v>0.5</v>
      </c>
      <c r="I1900">
        <v>1</v>
      </c>
      <c r="Q1900" s="1"/>
      <c r="R1900" s="1">
        <v>1.06</v>
      </c>
    </row>
    <row r="1901" spans="1:19" ht="15.75" customHeight="1" x14ac:dyDescent="0.25">
      <c r="A1901" s="2">
        <v>5444357</v>
      </c>
      <c r="B1901">
        <v>5444357</v>
      </c>
      <c r="C1901" t="str">
        <f t="shared" si="52"/>
        <v>Link</v>
      </c>
      <c r="D1901" t="s">
        <v>2764</v>
      </c>
      <c r="E1901" s="17">
        <v>1.5</v>
      </c>
      <c r="F1901" t="s">
        <v>2769</v>
      </c>
      <c r="G1901">
        <v>0.5</v>
      </c>
      <c r="I1901">
        <v>1</v>
      </c>
      <c r="Q1901" s="1"/>
      <c r="R1901" s="1">
        <v>1.94</v>
      </c>
    </row>
    <row r="1902" spans="1:19" ht="15.75" customHeight="1" x14ac:dyDescent="0.25">
      <c r="A1902" s="2">
        <v>5444357</v>
      </c>
      <c r="B1902">
        <v>5444357</v>
      </c>
      <c r="C1902" t="str">
        <f t="shared" si="52"/>
        <v>Link</v>
      </c>
      <c r="D1902" t="s">
        <v>2764</v>
      </c>
      <c r="E1902" s="17">
        <v>1.5</v>
      </c>
      <c r="F1902" t="s">
        <v>2770</v>
      </c>
      <c r="G1902">
        <v>0.5</v>
      </c>
      <c r="I1902">
        <v>1</v>
      </c>
      <c r="Q1902" s="1"/>
      <c r="R1902" s="1">
        <v>1.94</v>
      </c>
    </row>
    <row r="1903" spans="1:19" ht="15.75" customHeight="1" x14ac:dyDescent="0.25">
      <c r="A1903" s="2">
        <v>5444357</v>
      </c>
      <c r="B1903">
        <v>5444357</v>
      </c>
      <c r="C1903" t="str">
        <f t="shared" si="52"/>
        <v>Link</v>
      </c>
      <c r="D1903" t="s">
        <v>2764</v>
      </c>
      <c r="E1903" s="17">
        <v>1.5</v>
      </c>
      <c r="F1903" t="s">
        <v>2771</v>
      </c>
      <c r="G1903">
        <v>0.5</v>
      </c>
      <c r="I1903">
        <v>1</v>
      </c>
      <c r="Q1903" s="1"/>
      <c r="R1903" s="1">
        <v>1.94</v>
      </c>
    </row>
    <row r="1904" spans="1:19" ht="15.75" customHeight="1" x14ac:dyDescent="0.25">
      <c r="A1904" s="2">
        <v>5444357</v>
      </c>
      <c r="B1904">
        <v>5444357</v>
      </c>
      <c r="C1904" t="str">
        <f t="shared" si="52"/>
        <v>Link</v>
      </c>
      <c r="D1904" t="s">
        <v>2764</v>
      </c>
      <c r="E1904" s="17">
        <v>1.5</v>
      </c>
      <c r="F1904" t="s">
        <v>2772</v>
      </c>
      <c r="G1904">
        <v>0.5</v>
      </c>
      <c r="I1904">
        <v>1</v>
      </c>
      <c r="Q1904" s="1"/>
      <c r="R1904" s="1">
        <v>1.94</v>
      </c>
    </row>
    <row r="1905" spans="1:18" ht="15.75" customHeight="1" x14ac:dyDescent="0.25">
      <c r="A1905" s="2">
        <v>5444357</v>
      </c>
      <c r="B1905">
        <v>5444357</v>
      </c>
      <c r="C1905" t="str">
        <f t="shared" si="52"/>
        <v>Link</v>
      </c>
      <c r="D1905" t="s">
        <v>2764</v>
      </c>
      <c r="E1905" s="17">
        <v>1.5</v>
      </c>
      <c r="F1905" t="s">
        <v>2773</v>
      </c>
      <c r="G1905">
        <v>0.5</v>
      </c>
      <c r="I1905">
        <v>1</v>
      </c>
      <c r="Q1905" s="1"/>
      <c r="R1905" s="1">
        <v>1.94</v>
      </c>
    </row>
    <row r="1906" spans="1:18" ht="15.75" customHeight="1" x14ac:dyDescent="0.25">
      <c r="A1906" s="2">
        <v>5444357</v>
      </c>
      <c r="B1906">
        <v>5444357</v>
      </c>
      <c r="C1906" t="str">
        <f t="shared" si="52"/>
        <v>Link</v>
      </c>
      <c r="D1906" t="s">
        <v>2764</v>
      </c>
      <c r="E1906" s="17">
        <v>1.5</v>
      </c>
      <c r="F1906" t="s">
        <v>2774</v>
      </c>
      <c r="G1906">
        <v>0.5</v>
      </c>
      <c r="I1906">
        <v>1</v>
      </c>
      <c r="Q1906" s="1"/>
      <c r="R1906" s="1">
        <v>1.94</v>
      </c>
    </row>
    <row r="1907" spans="1:18" ht="15.75" customHeight="1" x14ac:dyDescent="0.25">
      <c r="A1907" s="2">
        <v>5444357</v>
      </c>
      <c r="B1907">
        <v>5444357</v>
      </c>
      <c r="C1907" t="str">
        <f t="shared" si="52"/>
        <v>Link</v>
      </c>
      <c r="D1907" t="s">
        <v>2764</v>
      </c>
      <c r="E1907" s="17">
        <v>1.5</v>
      </c>
      <c r="F1907" t="s">
        <v>2775</v>
      </c>
      <c r="G1907">
        <v>0.5</v>
      </c>
      <c r="I1907">
        <v>1</v>
      </c>
      <c r="Q1907" s="1"/>
      <c r="R1907" s="1">
        <v>1.94</v>
      </c>
    </row>
    <row r="1908" spans="1:18" ht="15.75" customHeight="1" x14ac:dyDescent="0.25">
      <c r="A1908" s="2">
        <v>5444357</v>
      </c>
      <c r="B1908">
        <v>5444357</v>
      </c>
      <c r="C1908" t="str">
        <f t="shared" si="52"/>
        <v>Link</v>
      </c>
      <c r="D1908" t="s">
        <v>2764</v>
      </c>
      <c r="E1908" s="17">
        <v>1.5</v>
      </c>
      <c r="F1908" t="s">
        <v>2776</v>
      </c>
      <c r="G1908">
        <v>0.5</v>
      </c>
      <c r="I1908">
        <v>1</v>
      </c>
      <c r="Q1908" s="1"/>
      <c r="R1908" s="1">
        <v>1.94</v>
      </c>
    </row>
    <row r="1909" spans="1:18" ht="15.75" customHeight="1" x14ac:dyDescent="0.25">
      <c r="A1909" s="2">
        <v>5444357</v>
      </c>
      <c r="B1909">
        <v>5444357</v>
      </c>
      <c r="C1909" t="str">
        <f t="shared" si="52"/>
        <v>Link</v>
      </c>
      <c r="D1909" t="s">
        <v>2764</v>
      </c>
      <c r="E1909" s="17">
        <v>1.5</v>
      </c>
      <c r="F1909" t="s">
        <v>2777</v>
      </c>
      <c r="G1909">
        <v>0.5</v>
      </c>
      <c r="I1909">
        <v>1</v>
      </c>
      <c r="Q1909" s="1"/>
      <c r="R1909" s="1">
        <v>0.81</v>
      </c>
    </row>
    <row r="1910" spans="1:18" ht="15.75" customHeight="1" x14ac:dyDescent="0.25">
      <c r="A1910" s="2">
        <v>5444357</v>
      </c>
      <c r="B1910">
        <v>5444357</v>
      </c>
      <c r="C1910" t="str">
        <f t="shared" si="52"/>
        <v>Link</v>
      </c>
      <c r="D1910" t="s">
        <v>2764</v>
      </c>
      <c r="E1910" s="17">
        <v>1.5</v>
      </c>
      <c r="F1910" t="s">
        <v>2778</v>
      </c>
      <c r="G1910">
        <v>0.5</v>
      </c>
      <c r="I1910">
        <v>1</v>
      </c>
      <c r="Q1910" s="1"/>
      <c r="R1910" s="1">
        <v>0.81</v>
      </c>
    </row>
    <row r="1911" spans="1:18" ht="15.75" customHeight="1" x14ac:dyDescent="0.25">
      <c r="A1911" s="2">
        <v>5444357</v>
      </c>
      <c r="B1911">
        <v>5444357</v>
      </c>
      <c r="C1911" t="str">
        <f t="shared" si="52"/>
        <v>Link</v>
      </c>
      <c r="D1911" t="s">
        <v>2764</v>
      </c>
      <c r="E1911" s="17">
        <v>1.5</v>
      </c>
      <c r="F1911" t="s">
        <v>2779</v>
      </c>
      <c r="G1911">
        <v>0.5</v>
      </c>
      <c r="I1911">
        <v>1</v>
      </c>
      <c r="Q1911" s="1"/>
      <c r="R1911" s="1">
        <v>0.81</v>
      </c>
    </row>
    <row r="1912" spans="1:18" ht="15.75" customHeight="1" x14ac:dyDescent="0.25">
      <c r="A1912" s="2">
        <v>5444357</v>
      </c>
      <c r="B1912">
        <v>5444357</v>
      </c>
      <c r="C1912" t="str">
        <f t="shared" si="52"/>
        <v>Link</v>
      </c>
      <c r="D1912" t="s">
        <v>2764</v>
      </c>
      <c r="E1912" s="17">
        <v>1.5</v>
      </c>
      <c r="F1912" t="s">
        <v>2780</v>
      </c>
      <c r="G1912">
        <v>0.5</v>
      </c>
      <c r="I1912">
        <v>1</v>
      </c>
      <c r="Q1912" s="1"/>
      <c r="R1912" s="1">
        <v>0.81</v>
      </c>
    </row>
    <row r="1913" spans="1:18" ht="15.75" customHeight="1" x14ac:dyDescent="0.25">
      <c r="A1913" s="2">
        <v>5444357</v>
      </c>
      <c r="B1913">
        <v>5444357</v>
      </c>
      <c r="C1913" t="str">
        <f t="shared" si="52"/>
        <v>Link</v>
      </c>
      <c r="D1913" t="s">
        <v>2764</v>
      </c>
      <c r="E1913" s="17">
        <v>1.5</v>
      </c>
      <c r="F1913" t="s">
        <v>2781</v>
      </c>
      <c r="G1913">
        <v>0.5</v>
      </c>
      <c r="I1913">
        <v>1</v>
      </c>
      <c r="Q1913" s="1"/>
      <c r="R1913" s="1">
        <v>0.81</v>
      </c>
    </row>
    <row r="1914" spans="1:18" ht="15.75" customHeight="1" x14ac:dyDescent="0.25">
      <c r="A1914" s="2">
        <v>5444358</v>
      </c>
      <c r="B1914">
        <v>5444358</v>
      </c>
      <c r="C1914" t="str">
        <f>HYPERLINK("https://ois.dk/map/5444358/sfe", "Link")</f>
        <v>Link</v>
      </c>
      <c r="D1914" t="s">
        <v>209</v>
      </c>
      <c r="E1914" s="17">
        <v>1.75</v>
      </c>
      <c r="F1914" t="s">
        <v>2782</v>
      </c>
      <c r="G1914">
        <v>0.5</v>
      </c>
      <c r="H1914">
        <v>0.25</v>
      </c>
      <c r="I1914">
        <v>1</v>
      </c>
      <c r="Q1914" s="1"/>
      <c r="R1914" s="1">
        <v>1.56</v>
      </c>
    </row>
    <row r="1915" spans="1:18" ht="15.75" customHeight="1" x14ac:dyDescent="0.25">
      <c r="A1915" s="2">
        <v>5444359</v>
      </c>
      <c r="B1915">
        <v>5444359</v>
      </c>
      <c r="C1915" t="str">
        <f>HYPERLINK("https://ois.dk/map/5444359/sfe", "Link")</f>
        <v>Link</v>
      </c>
      <c r="D1915" t="s">
        <v>211</v>
      </c>
      <c r="E1915" s="17">
        <v>1.75</v>
      </c>
      <c r="F1915" t="s">
        <v>2783</v>
      </c>
      <c r="G1915">
        <v>0.5</v>
      </c>
      <c r="H1915">
        <v>0.25</v>
      </c>
      <c r="I1915">
        <v>1</v>
      </c>
      <c r="Q1915" s="1"/>
      <c r="R1915" s="1">
        <v>1.1000000000000001</v>
      </c>
    </row>
    <row r="1916" spans="1:18" ht="15.75" customHeight="1" x14ac:dyDescent="0.25">
      <c r="A1916" s="2">
        <v>5444360</v>
      </c>
      <c r="B1916">
        <v>5444360</v>
      </c>
      <c r="C1916" t="str">
        <f>HYPERLINK("https://ois.dk/map/5444360/sfe", "Link")</f>
        <v>Link</v>
      </c>
      <c r="D1916" t="s">
        <v>2784</v>
      </c>
      <c r="E1916" s="17">
        <v>1.75</v>
      </c>
      <c r="F1916" t="s">
        <v>2785</v>
      </c>
      <c r="G1916">
        <v>0.5</v>
      </c>
      <c r="H1916">
        <v>0.25</v>
      </c>
      <c r="I1916">
        <v>1</v>
      </c>
      <c r="Q1916" s="1"/>
      <c r="R1916" s="1">
        <v>0.92</v>
      </c>
    </row>
    <row r="1917" spans="1:18" ht="15.75" customHeight="1" x14ac:dyDescent="0.25">
      <c r="A1917" s="2">
        <v>5444361</v>
      </c>
      <c r="B1917">
        <v>5444361</v>
      </c>
      <c r="C1917" t="str">
        <f>HYPERLINK("https://ois.dk/map/5444361/sfe", "Link")</f>
        <v>Link</v>
      </c>
      <c r="D1917" t="s">
        <v>2786</v>
      </c>
      <c r="E1917" s="17">
        <v>1.75</v>
      </c>
      <c r="F1917" t="s">
        <v>2787</v>
      </c>
      <c r="G1917">
        <v>0.5</v>
      </c>
      <c r="H1917">
        <v>0.25</v>
      </c>
      <c r="I1917">
        <v>1</v>
      </c>
      <c r="Q1917" s="1"/>
      <c r="R1917" s="1">
        <v>0.99</v>
      </c>
    </row>
    <row r="1918" spans="1:18" ht="15.75" customHeight="1" x14ac:dyDescent="0.25">
      <c r="A1918" s="2">
        <v>5444362</v>
      </c>
      <c r="B1918">
        <v>5444362</v>
      </c>
      <c r="C1918" t="str">
        <f>HYPERLINK("https://ois.dk/map/5444362/sfe", "Link")</f>
        <v>Link</v>
      </c>
      <c r="D1918" t="s">
        <v>2788</v>
      </c>
      <c r="E1918" s="17">
        <v>1.75</v>
      </c>
      <c r="F1918" t="s">
        <v>2789</v>
      </c>
      <c r="G1918">
        <v>0.5</v>
      </c>
      <c r="H1918">
        <v>0.25</v>
      </c>
      <c r="I1918">
        <v>1</v>
      </c>
      <c r="Q1918" s="1"/>
      <c r="R1918" s="1">
        <v>1.0900000000000001</v>
      </c>
    </row>
    <row r="1919" spans="1:18" ht="15.75" customHeight="1" x14ac:dyDescent="0.25">
      <c r="A1919" s="2">
        <v>5444363</v>
      </c>
      <c r="B1919">
        <v>5444363</v>
      </c>
      <c r="C1919" t="str">
        <f>HYPERLINK("https://ois.dk/map/5444363/sfe", "Link")</f>
        <v>Link</v>
      </c>
      <c r="D1919" t="s">
        <v>2790</v>
      </c>
      <c r="E1919" s="17">
        <v>1.75</v>
      </c>
      <c r="F1919" t="s">
        <v>2791</v>
      </c>
      <c r="G1919">
        <v>0.5</v>
      </c>
      <c r="H1919">
        <v>0.25</v>
      </c>
      <c r="I1919">
        <v>1</v>
      </c>
      <c r="Q1919" s="1"/>
      <c r="R1919" s="1">
        <v>1.1200000000000001</v>
      </c>
    </row>
    <row r="1920" spans="1:18" ht="15.75" customHeight="1" x14ac:dyDescent="0.25">
      <c r="A1920" s="2">
        <v>5444364</v>
      </c>
      <c r="B1920">
        <v>5444364</v>
      </c>
      <c r="C1920" t="str">
        <f>HYPERLINK("https://ois.dk/map/5444364/sfe", "Link")</f>
        <v>Link</v>
      </c>
      <c r="D1920" t="s">
        <v>2792</v>
      </c>
      <c r="E1920" s="17">
        <v>1.75</v>
      </c>
      <c r="F1920" t="s">
        <v>2793</v>
      </c>
      <c r="G1920">
        <v>0.5</v>
      </c>
      <c r="H1920">
        <v>0.25</v>
      </c>
      <c r="I1920">
        <v>1</v>
      </c>
      <c r="Q1920" s="1"/>
      <c r="R1920" s="1">
        <v>1.31</v>
      </c>
    </row>
    <row r="1921" spans="1:18" ht="15.75" customHeight="1" x14ac:dyDescent="0.25">
      <c r="A1921" s="2">
        <v>5444365</v>
      </c>
      <c r="B1921">
        <v>5444365</v>
      </c>
      <c r="C1921" t="str">
        <f>HYPERLINK("https://ois.dk/map/5444365/sfe", "Link")</f>
        <v>Link</v>
      </c>
      <c r="D1921" t="s">
        <v>2794</v>
      </c>
      <c r="E1921" s="17">
        <v>1.75</v>
      </c>
      <c r="F1921" t="s">
        <v>2795</v>
      </c>
      <c r="G1921">
        <v>0.5</v>
      </c>
      <c r="H1921">
        <v>0.25</v>
      </c>
      <c r="I1921">
        <v>1</v>
      </c>
      <c r="Q1921" s="1"/>
      <c r="R1921" s="1">
        <v>1.02</v>
      </c>
    </row>
    <row r="1922" spans="1:18" ht="15.75" customHeight="1" x14ac:dyDescent="0.25">
      <c r="A1922" s="2">
        <v>5444366</v>
      </c>
      <c r="B1922">
        <v>5444366</v>
      </c>
      <c r="C1922" t="str">
        <f>HYPERLINK("https://ois.dk/map/5444366/sfe", "Link")</f>
        <v>Link</v>
      </c>
      <c r="D1922" t="s">
        <v>2796</v>
      </c>
      <c r="E1922" s="17">
        <v>1.75</v>
      </c>
      <c r="F1922" t="s">
        <v>2797</v>
      </c>
      <c r="G1922">
        <v>0.5</v>
      </c>
      <c r="H1922">
        <v>0.25</v>
      </c>
      <c r="I1922">
        <v>1</v>
      </c>
      <c r="Q1922" s="1"/>
      <c r="R1922" s="1">
        <v>1.04</v>
      </c>
    </row>
    <row r="1923" spans="1:18" ht="15.75" customHeight="1" x14ac:dyDescent="0.25">
      <c r="A1923" s="2">
        <v>5444367</v>
      </c>
      <c r="B1923">
        <v>5444367</v>
      </c>
      <c r="C1923" t="str">
        <f>HYPERLINK("https://ois.dk/map/5444367/sfe", "Link")</f>
        <v>Link</v>
      </c>
      <c r="D1923" t="s">
        <v>2798</v>
      </c>
      <c r="E1923" s="17">
        <v>1.75</v>
      </c>
      <c r="F1923" t="s">
        <v>2799</v>
      </c>
      <c r="G1923">
        <v>0.5</v>
      </c>
      <c r="H1923">
        <v>0.25</v>
      </c>
      <c r="I1923">
        <v>1</v>
      </c>
      <c r="Q1923" s="1"/>
      <c r="R1923" s="1">
        <v>1.01</v>
      </c>
    </row>
    <row r="1924" spans="1:18" ht="15.75" customHeight="1" x14ac:dyDescent="0.25">
      <c r="A1924" s="2">
        <v>5444368</v>
      </c>
      <c r="B1924">
        <v>5444368</v>
      </c>
      <c r="C1924" t="str">
        <f>HYPERLINK("https://ois.dk/map/5444368/sfe", "Link")</f>
        <v>Link</v>
      </c>
      <c r="D1924" t="s">
        <v>2800</v>
      </c>
      <c r="E1924" s="17">
        <v>1.75</v>
      </c>
      <c r="F1924" t="s">
        <v>2801</v>
      </c>
      <c r="G1924">
        <v>0.5</v>
      </c>
      <c r="H1924">
        <v>0.25</v>
      </c>
      <c r="I1924">
        <v>1</v>
      </c>
      <c r="Q1924" s="1"/>
      <c r="R1924" s="1">
        <v>1.02</v>
      </c>
    </row>
    <row r="1925" spans="1:18" ht="15.75" customHeight="1" x14ac:dyDescent="0.25">
      <c r="A1925" s="2">
        <v>5444369</v>
      </c>
      <c r="B1925">
        <v>5444369</v>
      </c>
      <c r="C1925" t="str">
        <f>HYPERLINK("https://ois.dk/map/5444369/sfe", "Link")</f>
        <v>Link</v>
      </c>
      <c r="D1925" t="s">
        <v>2802</v>
      </c>
      <c r="E1925" s="17">
        <v>1.75</v>
      </c>
      <c r="F1925" t="s">
        <v>2803</v>
      </c>
      <c r="G1925">
        <v>0.5</v>
      </c>
      <c r="H1925">
        <v>0.25</v>
      </c>
      <c r="I1925">
        <v>1</v>
      </c>
      <c r="Q1925" s="1"/>
      <c r="R1925" s="1">
        <v>0.99</v>
      </c>
    </row>
    <row r="1926" spans="1:18" ht="15.75" customHeight="1" x14ac:dyDescent="0.25">
      <c r="A1926" s="2">
        <v>5444370</v>
      </c>
      <c r="B1926">
        <v>5444370</v>
      </c>
      <c r="C1926" t="str">
        <f>HYPERLINK("https://ois.dk/map/5444370/sfe", "Link")</f>
        <v>Link</v>
      </c>
      <c r="D1926" t="s">
        <v>2804</v>
      </c>
      <c r="E1926" s="17">
        <v>1.75</v>
      </c>
      <c r="F1926" t="s">
        <v>2805</v>
      </c>
      <c r="G1926">
        <v>0.5</v>
      </c>
      <c r="H1926">
        <v>0.25</v>
      </c>
      <c r="I1926">
        <v>1</v>
      </c>
      <c r="Q1926" s="1"/>
      <c r="R1926" s="1">
        <v>0.99</v>
      </c>
    </row>
    <row r="1927" spans="1:18" ht="15.75" customHeight="1" x14ac:dyDescent="0.25">
      <c r="A1927" s="2">
        <v>5444371</v>
      </c>
      <c r="B1927">
        <v>5444371</v>
      </c>
      <c r="C1927" t="str">
        <f>HYPERLINK("https://ois.dk/map/5444371/sfe", "Link")</f>
        <v>Link</v>
      </c>
      <c r="D1927" t="s">
        <v>2806</v>
      </c>
      <c r="E1927" s="17">
        <v>1.75</v>
      </c>
      <c r="F1927" t="s">
        <v>2807</v>
      </c>
      <c r="G1927">
        <v>0.5</v>
      </c>
      <c r="H1927">
        <v>0.25</v>
      </c>
      <c r="I1927">
        <v>1</v>
      </c>
      <c r="Q1927" s="1"/>
      <c r="R1927" s="1">
        <v>1</v>
      </c>
    </row>
    <row r="1928" spans="1:18" ht="15.75" customHeight="1" x14ac:dyDescent="0.25">
      <c r="A1928" s="2">
        <v>5444372</v>
      </c>
      <c r="B1928">
        <v>5444372</v>
      </c>
      <c r="C1928" t="str">
        <f>HYPERLINK("https://ois.dk/map/5444372/sfe", "Link")</f>
        <v>Link</v>
      </c>
      <c r="D1928" t="s">
        <v>2808</v>
      </c>
      <c r="E1928" s="17">
        <v>1.75</v>
      </c>
      <c r="F1928" t="s">
        <v>2809</v>
      </c>
      <c r="G1928">
        <v>0.5</v>
      </c>
      <c r="H1928">
        <v>0.25</v>
      </c>
      <c r="I1928">
        <v>1</v>
      </c>
      <c r="Q1928" s="1"/>
      <c r="R1928" s="1">
        <v>1.07</v>
      </c>
    </row>
    <row r="1929" spans="1:18" ht="15.75" customHeight="1" x14ac:dyDescent="0.25">
      <c r="A1929" s="2">
        <v>5444376</v>
      </c>
      <c r="B1929">
        <v>5444376</v>
      </c>
      <c r="C1929" t="str">
        <f>HYPERLINK("https://ois.dk/map/5444376/sfe", "Link")</f>
        <v>Link</v>
      </c>
      <c r="D1929" t="s">
        <v>2810</v>
      </c>
      <c r="E1929" s="17">
        <v>1.75</v>
      </c>
      <c r="F1929" t="s">
        <v>2811</v>
      </c>
      <c r="G1929">
        <v>0.5</v>
      </c>
      <c r="H1929">
        <v>0.25</v>
      </c>
      <c r="I1929">
        <v>1</v>
      </c>
      <c r="Q1929" s="1"/>
      <c r="R1929" s="1">
        <v>0.79</v>
      </c>
    </row>
    <row r="1930" spans="1:18" ht="15.75" customHeight="1" x14ac:dyDescent="0.25">
      <c r="A1930" s="2">
        <v>5444377</v>
      </c>
      <c r="B1930">
        <v>5444377</v>
      </c>
      <c r="C1930" t="str">
        <f>HYPERLINK("https://ois.dk/map/5444377/sfe", "Link")</f>
        <v>Link</v>
      </c>
      <c r="D1930" t="s">
        <v>2812</v>
      </c>
      <c r="E1930" s="17">
        <v>1.75</v>
      </c>
      <c r="F1930" t="s">
        <v>2813</v>
      </c>
      <c r="G1930">
        <v>0.5</v>
      </c>
      <c r="H1930">
        <v>0.25</v>
      </c>
      <c r="I1930">
        <v>1</v>
      </c>
      <c r="Q1930" s="1"/>
      <c r="R1930" s="1">
        <v>1.5</v>
      </c>
    </row>
    <row r="1931" spans="1:18" ht="15.75" customHeight="1" x14ac:dyDescent="0.25">
      <c r="A1931" s="2">
        <v>5444378</v>
      </c>
      <c r="B1931">
        <v>5444378</v>
      </c>
      <c r="C1931" t="str">
        <f>HYPERLINK("https://ois.dk/map/5444378/sfe", "Link")</f>
        <v>Link</v>
      </c>
      <c r="D1931" t="s">
        <v>2814</v>
      </c>
      <c r="E1931" s="17">
        <v>1.75</v>
      </c>
      <c r="F1931" t="s">
        <v>2815</v>
      </c>
      <c r="G1931">
        <v>0.5</v>
      </c>
      <c r="H1931">
        <v>0.25</v>
      </c>
      <c r="I1931">
        <v>1</v>
      </c>
      <c r="Q1931" s="1"/>
      <c r="R1931" s="1">
        <v>1.1200000000000001</v>
      </c>
    </row>
    <row r="1932" spans="1:18" ht="15.75" customHeight="1" x14ac:dyDescent="0.25">
      <c r="A1932" s="2">
        <v>5444379</v>
      </c>
      <c r="B1932">
        <v>5444379</v>
      </c>
      <c r="C1932" t="str">
        <f>HYPERLINK("https://ois.dk/map/5444379/sfe", "Link")</f>
        <v>Link</v>
      </c>
      <c r="D1932" t="s">
        <v>2816</v>
      </c>
      <c r="E1932" s="17">
        <v>1.75</v>
      </c>
      <c r="F1932" t="s">
        <v>2817</v>
      </c>
      <c r="G1932">
        <v>0.5</v>
      </c>
      <c r="H1932">
        <v>0.25</v>
      </c>
      <c r="I1932">
        <v>1</v>
      </c>
      <c r="Q1932" s="1"/>
      <c r="R1932" s="1">
        <v>0.86</v>
      </c>
    </row>
    <row r="1933" spans="1:18" ht="15.75" customHeight="1" x14ac:dyDescent="0.25">
      <c r="A1933" s="2">
        <v>5444380</v>
      </c>
      <c r="B1933">
        <v>5444380</v>
      </c>
      <c r="C1933" t="str">
        <f>HYPERLINK("https://ois.dk/map/5444380/sfe", "Link")</f>
        <v>Link</v>
      </c>
      <c r="D1933" t="s">
        <v>2818</v>
      </c>
      <c r="E1933" s="17">
        <v>2.0499999999999998</v>
      </c>
      <c r="F1933" t="s">
        <v>2819</v>
      </c>
      <c r="G1933">
        <v>0.5</v>
      </c>
      <c r="H1933">
        <v>0.25</v>
      </c>
      <c r="I1933">
        <v>1</v>
      </c>
      <c r="J1933">
        <v>0.3</v>
      </c>
      <c r="Q1933" s="1"/>
      <c r="R1933" s="1">
        <v>0.82</v>
      </c>
    </row>
    <row r="1934" spans="1:18" ht="15.75" customHeight="1" x14ac:dyDescent="0.25">
      <c r="A1934" s="2">
        <v>5444381</v>
      </c>
      <c r="B1934">
        <v>5444381</v>
      </c>
      <c r="C1934" t="str">
        <f>HYPERLINK("https://ois.dk/map/5444381/sfe", "Link")</f>
        <v>Link</v>
      </c>
      <c r="D1934" t="s">
        <v>2820</v>
      </c>
      <c r="E1934" s="17">
        <v>1.75</v>
      </c>
      <c r="F1934" t="s">
        <v>2821</v>
      </c>
      <c r="G1934">
        <v>0.5</v>
      </c>
      <c r="H1934">
        <v>0.25</v>
      </c>
      <c r="I1934">
        <v>1</v>
      </c>
      <c r="Q1934" s="1"/>
      <c r="R1934" s="1">
        <v>0.84</v>
      </c>
    </row>
    <row r="1935" spans="1:18" ht="15.75" customHeight="1" x14ac:dyDescent="0.25">
      <c r="A1935" s="2">
        <v>5444382</v>
      </c>
      <c r="B1935">
        <v>5444382</v>
      </c>
      <c r="C1935" t="str">
        <f>HYPERLINK("https://ois.dk/map/5444382/sfe", "Link")</f>
        <v>Link</v>
      </c>
      <c r="D1935" t="s">
        <v>2822</v>
      </c>
      <c r="E1935" s="17">
        <v>1.75</v>
      </c>
      <c r="F1935" t="s">
        <v>2823</v>
      </c>
      <c r="G1935">
        <v>0.5</v>
      </c>
      <c r="H1935">
        <v>0.25</v>
      </c>
      <c r="I1935">
        <v>1</v>
      </c>
      <c r="Q1935" s="1"/>
      <c r="R1935" s="1">
        <v>0.94</v>
      </c>
    </row>
    <row r="1936" spans="1:18" ht="15.75" customHeight="1" x14ac:dyDescent="0.25">
      <c r="A1936" s="2">
        <v>5444383</v>
      </c>
      <c r="B1936">
        <v>5444383</v>
      </c>
      <c r="C1936" t="str">
        <f>HYPERLINK("https://ois.dk/map/5444383/sfe", "Link")</f>
        <v>Link</v>
      </c>
      <c r="D1936" t="s">
        <v>2824</v>
      </c>
      <c r="E1936" s="17">
        <v>1.75</v>
      </c>
      <c r="F1936" t="s">
        <v>2825</v>
      </c>
      <c r="G1936">
        <v>0.5</v>
      </c>
      <c r="H1936">
        <v>0.25</v>
      </c>
      <c r="I1936">
        <v>1</v>
      </c>
      <c r="Q1936" s="1"/>
      <c r="R1936" s="1">
        <v>1.1299999999999999</v>
      </c>
    </row>
    <row r="1937" spans="1:19" ht="15.75" customHeight="1" x14ac:dyDescent="0.25">
      <c r="A1937" s="2">
        <v>5444384</v>
      </c>
      <c r="B1937">
        <v>5444384</v>
      </c>
      <c r="C1937" t="str">
        <f>HYPERLINK("https://ois.dk/map/5444384/sfe", "Link")</f>
        <v>Link</v>
      </c>
      <c r="D1937" t="s">
        <v>2826</v>
      </c>
      <c r="E1937" s="17">
        <v>1.75</v>
      </c>
      <c r="F1937" t="s">
        <v>2827</v>
      </c>
      <c r="G1937">
        <v>0.5</v>
      </c>
      <c r="H1937">
        <v>0.25</v>
      </c>
      <c r="I1937">
        <v>1</v>
      </c>
      <c r="Q1937" s="1"/>
      <c r="R1937" s="1">
        <v>1.1200000000000001</v>
      </c>
    </row>
    <row r="1938" spans="1:19" ht="15.75" customHeight="1" x14ac:dyDescent="0.25">
      <c r="A1938" s="2">
        <v>5444388</v>
      </c>
      <c r="B1938">
        <v>5444388</v>
      </c>
      <c r="C1938" t="str">
        <f>HYPERLINK("https://ois.dk/map/5444388/sfe", "Link")</f>
        <v>Link</v>
      </c>
      <c r="D1938" t="s">
        <v>2828</v>
      </c>
      <c r="E1938" s="17">
        <v>0.25</v>
      </c>
      <c r="F1938" t="s">
        <v>2829</v>
      </c>
      <c r="H1938">
        <v>0.25</v>
      </c>
      <c r="Q1938" s="1"/>
      <c r="R1938" s="1">
        <v>0.99</v>
      </c>
    </row>
    <row r="1939" spans="1:19" ht="15.75" customHeight="1" x14ac:dyDescent="0.25">
      <c r="A1939" s="2">
        <v>5444388</v>
      </c>
      <c r="B1939">
        <v>5444388</v>
      </c>
      <c r="C1939" t="str">
        <f>HYPERLINK("https://ois.dk/map/5444388/sfe", "Link")</f>
        <v>Link</v>
      </c>
      <c r="D1939" t="s">
        <v>2828</v>
      </c>
      <c r="E1939" s="17">
        <v>1.5</v>
      </c>
      <c r="F1939" t="s">
        <v>2829</v>
      </c>
      <c r="G1939">
        <v>0.5</v>
      </c>
      <c r="I1939">
        <v>1</v>
      </c>
      <c r="Q1939" s="1"/>
      <c r="R1939" s="1">
        <v>0.99</v>
      </c>
    </row>
    <row r="1940" spans="1:19" ht="15.75" customHeight="1" x14ac:dyDescent="0.25">
      <c r="A1940" s="2">
        <v>5444388</v>
      </c>
      <c r="B1940">
        <v>5444388</v>
      </c>
      <c r="C1940" t="str">
        <f>HYPERLINK("https://ois.dk/map/5444388/sfe", "Link")</f>
        <v>Link</v>
      </c>
      <c r="D1940" t="s">
        <v>2828</v>
      </c>
      <c r="E1940" s="17">
        <v>1.5</v>
      </c>
      <c r="F1940" t="s">
        <v>2829</v>
      </c>
      <c r="G1940">
        <v>0.5</v>
      </c>
      <c r="I1940">
        <v>1</v>
      </c>
      <c r="Q1940" s="1"/>
      <c r="R1940" s="1">
        <v>1.06</v>
      </c>
    </row>
    <row r="1941" spans="1:19" ht="15.75" customHeight="1" x14ac:dyDescent="0.25">
      <c r="A1941" s="2">
        <v>5444388</v>
      </c>
      <c r="B1941">
        <v>5444388</v>
      </c>
      <c r="C1941" t="str">
        <f>HYPERLINK("https://ois.dk/map/5444388/sfe", "Link")</f>
        <v>Link</v>
      </c>
      <c r="D1941" t="s">
        <v>2828</v>
      </c>
      <c r="E1941" s="17">
        <v>0.5</v>
      </c>
      <c r="F1941" t="s">
        <v>2829</v>
      </c>
      <c r="G1941">
        <v>0.5</v>
      </c>
      <c r="Q1941" s="1"/>
      <c r="R1941" s="1"/>
    </row>
    <row r="1942" spans="1:19" ht="15.75" customHeight="1" x14ac:dyDescent="0.25">
      <c r="A1942" s="2">
        <v>5444389</v>
      </c>
      <c r="B1942">
        <v>5444389</v>
      </c>
      <c r="C1942" t="str">
        <f>HYPERLINK("https://ois.dk/map/5444389/sfe", "Link")</f>
        <v>Link</v>
      </c>
      <c r="D1942" t="s">
        <v>2830</v>
      </c>
      <c r="E1942" s="17">
        <v>2.0499999999999998</v>
      </c>
      <c r="F1942" t="s">
        <v>2831</v>
      </c>
      <c r="G1942">
        <v>0.5</v>
      </c>
      <c r="H1942">
        <v>0.25</v>
      </c>
      <c r="I1942">
        <v>1</v>
      </c>
      <c r="J1942">
        <v>0.3</v>
      </c>
      <c r="Q1942" s="1"/>
      <c r="R1942" s="1">
        <v>1.23</v>
      </c>
      <c r="S1942">
        <v>0.36</v>
      </c>
    </row>
    <row r="1943" spans="1:19" ht="15.75" customHeight="1" x14ac:dyDescent="0.25">
      <c r="A1943" s="2">
        <v>5444390</v>
      </c>
      <c r="B1943">
        <v>5444390</v>
      </c>
      <c r="C1943" t="str">
        <f>HYPERLINK("https://ois.dk/map/5444390/sfe", "Link")</f>
        <v>Link</v>
      </c>
      <c r="D1943" t="s">
        <v>2832</v>
      </c>
      <c r="E1943" s="17">
        <v>1.75</v>
      </c>
      <c r="F1943" t="s">
        <v>2833</v>
      </c>
      <c r="G1943">
        <v>0.5</v>
      </c>
      <c r="H1943">
        <v>0.25</v>
      </c>
      <c r="I1943">
        <v>1</v>
      </c>
      <c r="Q1943" s="1"/>
      <c r="R1943" s="1">
        <v>1</v>
      </c>
    </row>
    <row r="1944" spans="1:19" ht="15.75" customHeight="1" x14ac:dyDescent="0.25">
      <c r="A1944" s="2">
        <v>5444391</v>
      </c>
      <c r="B1944">
        <v>5444391</v>
      </c>
      <c r="C1944" t="str">
        <f>HYPERLINK("https://ois.dk/map/5444391/sfe", "Link")</f>
        <v>Link</v>
      </c>
      <c r="D1944" t="s">
        <v>2834</v>
      </c>
      <c r="E1944" s="17">
        <v>1.75</v>
      </c>
      <c r="F1944" t="s">
        <v>2835</v>
      </c>
      <c r="G1944">
        <v>0.5</v>
      </c>
      <c r="H1944">
        <v>0.25</v>
      </c>
      <c r="I1944">
        <v>1</v>
      </c>
      <c r="Q1944" s="1"/>
      <c r="R1944" s="1">
        <v>1.08</v>
      </c>
    </row>
    <row r="1945" spans="1:19" ht="15.75" customHeight="1" x14ac:dyDescent="0.25">
      <c r="A1945" s="2">
        <v>5444392</v>
      </c>
      <c r="B1945">
        <v>5444392</v>
      </c>
      <c r="C1945" t="str">
        <f>HYPERLINK("https://ois.dk/map/5444392/sfe", "Link")</f>
        <v>Link</v>
      </c>
      <c r="D1945" t="s">
        <v>2836</v>
      </c>
      <c r="E1945" s="17">
        <v>1.75</v>
      </c>
      <c r="F1945" t="s">
        <v>2837</v>
      </c>
      <c r="G1945">
        <v>0.5</v>
      </c>
      <c r="H1945">
        <v>0.25</v>
      </c>
      <c r="I1945">
        <v>1</v>
      </c>
      <c r="Q1945" s="1"/>
      <c r="R1945" s="1">
        <v>0.81</v>
      </c>
    </row>
    <row r="1946" spans="1:19" ht="15.75" customHeight="1" x14ac:dyDescent="0.25">
      <c r="A1946" s="2">
        <v>5444393</v>
      </c>
      <c r="B1946">
        <v>5444393</v>
      </c>
      <c r="C1946" t="str">
        <f>HYPERLINK("https://ois.dk/map/5444393/sfe", "Link")</f>
        <v>Link</v>
      </c>
      <c r="D1946" t="s">
        <v>2838</v>
      </c>
      <c r="E1946" s="17">
        <v>2.0499999999999998</v>
      </c>
      <c r="F1946" t="s">
        <v>2839</v>
      </c>
      <c r="G1946">
        <v>0.5</v>
      </c>
      <c r="H1946">
        <v>0.25</v>
      </c>
      <c r="I1946">
        <v>1</v>
      </c>
      <c r="J1946">
        <v>0.3</v>
      </c>
      <c r="Q1946" s="1"/>
      <c r="R1946" s="1">
        <v>0.83</v>
      </c>
      <c r="S1946">
        <v>0.67</v>
      </c>
    </row>
    <row r="1947" spans="1:19" ht="15.75" customHeight="1" x14ac:dyDescent="0.25">
      <c r="A1947" s="2">
        <v>5444394</v>
      </c>
      <c r="B1947">
        <v>5444394</v>
      </c>
      <c r="C1947" t="str">
        <f>HYPERLINK("https://ois.dk/map/5444394/sfe", "Link")</f>
        <v>Link</v>
      </c>
      <c r="D1947" t="s">
        <v>2840</v>
      </c>
      <c r="E1947" s="17">
        <v>1.75</v>
      </c>
      <c r="F1947" t="s">
        <v>2841</v>
      </c>
      <c r="G1947">
        <v>0.5</v>
      </c>
      <c r="H1947">
        <v>0.25</v>
      </c>
      <c r="I1947">
        <v>1</v>
      </c>
      <c r="Q1947" s="1"/>
      <c r="R1947" s="1">
        <v>0.99</v>
      </c>
    </row>
    <row r="1948" spans="1:19" ht="15.75" customHeight="1" x14ac:dyDescent="0.25">
      <c r="A1948" s="2">
        <v>5444395</v>
      </c>
      <c r="B1948">
        <v>5444395</v>
      </c>
      <c r="C1948" t="str">
        <f>HYPERLINK("https://ois.dk/map/5444395/sfe", "Link")</f>
        <v>Link</v>
      </c>
      <c r="D1948" t="s">
        <v>2842</v>
      </c>
      <c r="E1948" s="17">
        <v>1.75</v>
      </c>
      <c r="F1948" t="s">
        <v>2843</v>
      </c>
      <c r="G1948">
        <v>0.5</v>
      </c>
      <c r="H1948">
        <v>0.25</v>
      </c>
      <c r="I1948">
        <v>1</v>
      </c>
      <c r="Q1948" s="1"/>
      <c r="R1948" s="1">
        <v>0.9</v>
      </c>
    </row>
    <row r="1949" spans="1:19" ht="15.75" customHeight="1" x14ac:dyDescent="0.25">
      <c r="A1949" s="2">
        <v>5444396</v>
      </c>
      <c r="B1949">
        <v>5444396</v>
      </c>
      <c r="C1949" t="str">
        <f>HYPERLINK("https://ois.dk/map/5444396/sfe", "Link")</f>
        <v>Link</v>
      </c>
      <c r="D1949" t="s">
        <v>2844</v>
      </c>
      <c r="E1949" s="17">
        <v>1.75</v>
      </c>
      <c r="F1949" t="s">
        <v>2845</v>
      </c>
      <c r="G1949">
        <v>0.5</v>
      </c>
      <c r="H1949">
        <v>0.25</v>
      </c>
      <c r="I1949">
        <v>1</v>
      </c>
      <c r="Q1949" s="1"/>
      <c r="R1949" s="1">
        <v>0.79</v>
      </c>
    </row>
    <row r="1950" spans="1:19" ht="15.75" customHeight="1" x14ac:dyDescent="0.25">
      <c r="A1950" s="2">
        <v>5444397</v>
      </c>
      <c r="B1950">
        <v>5444397</v>
      </c>
      <c r="C1950" t="str">
        <f>HYPERLINK("https://ois.dk/map/5444397/sfe", "Link")</f>
        <v>Link</v>
      </c>
      <c r="D1950" t="s">
        <v>2846</v>
      </c>
      <c r="E1950" s="17">
        <v>1.75</v>
      </c>
      <c r="F1950" t="s">
        <v>2847</v>
      </c>
      <c r="G1950">
        <v>0.5</v>
      </c>
      <c r="H1950">
        <v>0.25</v>
      </c>
      <c r="I1950">
        <v>1</v>
      </c>
      <c r="Q1950" s="1"/>
      <c r="R1950" s="1">
        <v>0.76</v>
      </c>
    </row>
    <row r="1951" spans="1:19" ht="15.75" customHeight="1" x14ac:dyDescent="0.25">
      <c r="A1951" s="2">
        <v>5444398</v>
      </c>
      <c r="B1951">
        <v>5444398</v>
      </c>
      <c r="C1951" t="str">
        <f>HYPERLINK("https://ois.dk/map/5444398/sfe", "Link")</f>
        <v>Link</v>
      </c>
      <c r="D1951" t="s">
        <v>2848</v>
      </c>
      <c r="E1951" s="17">
        <v>2.0499999999999998</v>
      </c>
      <c r="F1951" t="s">
        <v>2849</v>
      </c>
      <c r="G1951">
        <v>0.5</v>
      </c>
      <c r="H1951">
        <v>0.25</v>
      </c>
      <c r="I1951">
        <v>1</v>
      </c>
      <c r="J1951">
        <v>0.3</v>
      </c>
      <c r="Q1951" s="1"/>
      <c r="R1951" s="1">
        <v>1.32</v>
      </c>
      <c r="S1951">
        <v>0.56000000000000005</v>
      </c>
    </row>
    <row r="1952" spans="1:19" ht="15.75" customHeight="1" x14ac:dyDescent="0.25">
      <c r="A1952" s="2">
        <v>5444399</v>
      </c>
      <c r="B1952">
        <v>5444399</v>
      </c>
      <c r="C1952" t="str">
        <f>HYPERLINK("https://ois.dk/map/5444399/sfe", "Link")</f>
        <v>Link</v>
      </c>
      <c r="D1952" t="s">
        <v>2850</v>
      </c>
      <c r="E1952" s="17">
        <v>1.75</v>
      </c>
      <c r="F1952" t="s">
        <v>2851</v>
      </c>
      <c r="G1952">
        <v>0.5</v>
      </c>
      <c r="H1952">
        <v>0.25</v>
      </c>
      <c r="I1952">
        <v>1</v>
      </c>
      <c r="Q1952" s="1"/>
      <c r="R1952" s="1">
        <v>0.97</v>
      </c>
    </row>
    <row r="1953" spans="1:18" ht="15.75" customHeight="1" x14ac:dyDescent="0.25">
      <c r="A1953" s="2">
        <v>5444400</v>
      </c>
      <c r="B1953">
        <v>5444400</v>
      </c>
      <c r="C1953" t="str">
        <f>HYPERLINK("https://ois.dk/map/5444400/sfe", "Link")</f>
        <v>Link</v>
      </c>
      <c r="D1953" t="s">
        <v>2852</v>
      </c>
      <c r="E1953" s="17">
        <v>1.75</v>
      </c>
      <c r="F1953" t="s">
        <v>2853</v>
      </c>
      <c r="G1953">
        <v>0.5</v>
      </c>
      <c r="H1953">
        <v>0.25</v>
      </c>
      <c r="I1953">
        <v>1</v>
      </c>
      <c r="Q1953" s="1"/>
      <c r="R1953" s="1">
        <v>0.5</v>
      </c>
    </row>
    <row r="1954" spans="1:18" ht="15.75" customHeight="1" x14ac:dyDescent="0.25">
      <c r="A1954" s="2">
        <v>5444401</v>
      </c>
      <c r="B1954">
        <v>5444401</v>
      </c>
      <c r="C1954" t="str">
        <f>HYPERLINK("https://ois.dk/map/5444401/sfe", "Link")</f>
        <v>Link</v>
      </c>
      <c r="D1954" t="s">
        <v>2854</v>
      </c>
      <c r="E1954" s="17">
        <v>1.75</v>
      </c>
      <c r="F1954" t="s">
        <v>2855</v>
      </c>
      <c r="G1954">
        <v>0.5</v>
      </c>
      <c r="H1954">
        <v>0.25</v>
      </c>
      <c r="I1954">
        <v>1</v>
      </c>
      <c r="Q1954" s="1"/>
      <c r="R1954" s="1">
        <v>0.57999999999999996</v>
      </c>
    </row>
    <row r="1955" spans="1:18" ht="15.75" customHeight="1" x14ac:dyDescent="0.25">
      <c r="A1955" s="2">
        <v>5444402</v>
      </c>
      <c r="B1955">
        <v>5444402</v>
      </c>
      <c r="C1955" t="str">
        <f>HYPERLINK("https://ois.dk/map/5444402/sfe", "Link")</f>
        <v>Link</v>
      </c>
      <c r="D1955" t="s">
        <v>2856</v>
      </c>
      <c r="E1955" s="17">
        <v>1.75</v>
      </c>
      <c r="F1955" t="s">
        <v>2857</v>
      </c>
      <c r="G1955">
        <v>0.5</v>
      </c>
      <c r="H1955">
        <v>0.25</v>
      </c>
      <c r="I1955">
        <v>1</v>
      </c>
      <c r="Q1955" s="1"/>
      <c r="R1955" s="1">
        <v>0.69</v>
      </c>
    </row>
    <row r="1956" spans="1:18" ht="15.75" customHeight="1" x14ac:dyDescent="0.25">
      <c r="A1956" s="2">
        <v>5444403</v>
      </c>
      <c r="B1956">
        <v>5444403</v>
      </c>
      <c r="C1956" t="str">
        <f>HYPERLINK("https://ois.dk/map/5444403/sfe", "Link")</f>
        <v>Link</v>
      </c>
      <c r="D1956" t="s">
        <v>2858</v>
      </c>
      <c r="E1956" s="17">
        <v>1.75</v>
      </c>
      <c r="F1956" t="s">
        <v>2859</v>
      </c>
      <c r="G1956">
        <v>0.5</v>
      </c>
      <c r="H1956">
        <v>0.25</v>
      </c>
      <c r="I1956">
        <v>1</v>
      </c>
      <c r="Q1956" s="1"/>
      <c r="R1956" s="1">
        <v>1</v>
      </c>
    </row>
    <row r="1957" spans="1:18" ht="15.75" customHeight="1" x14ac:dyDescent="0.25">
      <c r="A1957" s="2">
        <v>5444404</v>
      </c>
      <c r="B1957">
        <v>5444404</v>
      </c>
      <c r="C1957" t="str">
        <f>HYPERLINK("https://ois.dk/map/5444404/sfe", "Link")</f>
        <v>Link</v>
      </c>
      <c r="D1957" t="s">
        <v>2860</v>
      </c>
      <c r="E1957" s="17">
        <v>1.75</v>
      </c>
      <c r="F1957" t="s">
        <v>2861</v>
      </c>
      <c r="G1957">
        <v>0.5</v>
      </c>
      <c r="H1957">
        <v>0.25</v>
      </c>
      <c r="I1957">
        <v>1</v>
      </c>
      <c r="Q1957" s="1"/>
      <c r="R1957" s="1">
        <v>0.91</v>
      </c>
    </row>
    <row r="1958" spans="1:18" ht="15.75" customHeight="1" x14ac:dyDescent="0.25">
      <c r="A1958" s="2">
        <v>5444405</v>
      </c>
      <c r="B1958">
        <v>5444405</v>
      </c>
      <c r="C1958" t="str">
        <f>HYPERLINK("https://ois.dk/map/5444405/sfe", "Link")</f>
        <v>Link</v>
      </c>
      <c r="D1958" t="s">
        <v>2862</v>
      </c>
      <c r="E1958" s="17">
        <v>1.75</v>
      </c>
      <c r="F1958" t="s">
        <v>2863</v>
      </c>
      <c r="G1958">
        <v>0.5</v>
      </c>
      <c r="H1958">
        <v>0.25</v>
      </c>
      <c r="I1958">
        <v>1</v>
      </c>
      <c r="Q1958" s="1"/>
      <c r="R1958" s="1">
        <v>0.81</v>
      </c>
    </row>
    <row r="1959" spans="1:18" ht="15.75" customHeight="1" x14ac:dyDescent="0.25">
      <c r="A1959" s="2">
        <v>5444406</v>
      </c>
      <c r="B1959">
        <v>5444406</v>
      </c>
      <c r="C1959" t="str">
        <f>HYPERLINK("https://ois.dk/map/5444406/sfe", "Link")</f>
        <v>Link</v>
      </c>
      <c r="D1959" t="s">
        <v>2864</v>
      </c>
      <c r="E1959" s="17">
        <v>1.75</v>
      </c>
      <c r="F1959" t="s">
        <v>2865</v>
      </c>
      <c r="G1959">
        <v>0.5</v>
      </c>
      <c r="H1959">
        <v>0.25</v>
      </c>
      <c r="I1959">
        <v>1</v>
      </c>
      <c r="Q1959" s="1"/>
      <c r="R1959" s="1">
        <v>0.75</v>
      </c>
    </row>
    <row r="1960" spans="1:18" ht="15.75" customHeight="1" x14ac:dyDescent="0.25">
      <c r="A1960" s="2">
        <v>5444407</v>
      </c>
      <c r="B1960">
        <v>5444407</v>
      </c>
      <c r="C1960" t="str">
        <f>HYPERLINK("https://ois.dk/map/5444407/sfe", "Link")</f>
        <v>Link</v>
      </c>
      <c r="D1960" t="s">
        <v>2866</v>
      </c>
      <c r="E1960" s="17">
        <v>1.75</v>
      </c>
      <c r="F1960" t="s">
        <v>2867</v>
      </c>
      <c r="G1960">
        <v>0.5</v>
      </c>
      <c r="H1960">
        <v>0.25</v>
      </c>
      <c r="I1960">
        <v>1</v>
      </c>
      <c r="Q1960" s="1"/>
      <c r="R1960" s="1">
        <v>0.92</v>
      </c>
    </row>
    <row r="1961" spans="1:18" ht="15.75" customHeight="1" x14ac:dyDescent="0.25">
      <c r="A1961" s="2">
        <v>5444408</v>
      </c>
      <c r="B1961">
        <v>5444408</v>
      </c>
      <c r="C1961" t="str">
        <f>HYPERLINK("https://ois.dk/map/5444408/sfe", "Link")</f>
        <v>Link</v>
      </c>
      <c r="D1961" t="s">
        <v>2868</v>
      </c>
      <c r="E1961" s="17">
        <v>1.75</v>
      </c>
      <c r="F1961" t="s">
        <v>2869</v>
      </c>
      <c r="G1961">
        <v>0.5</v>
      </c>
      <c r="H1961">
        <v>0.25</v>
      </c>
      <c r="I1961">
        <v>1</v>
      </c>
      <c r="Q1961" s="1"/>
      <c r="R1961" s="1">
        <v>0.37</v>
      </c>
    </row>
    <row r="1962" spans="1:18" ht="15.75" customHeight="1" x14ac:dyDescent="0.25">
      <c r="A1962" s="2">
        <v>5444409</v>
      </c>
      <c r="B1962">
        <v>5444409</v>
      </c>
      <c r="C1962" t="str">
        <f>HYPERLINK("https://ois.dk/map/5444409/sfe", "Link")</f>
        <v>Link</v>
      </c>
      <c r="D1962" t="s">
        <v>2870</v>
      </c>
      <c r="E1962" s="17">
        <v>1.75</v>
      </c>
      <c r="F1962" t="s">
        <v>2871</v>
      </c>
      <c r="G1962">
        <v>0.5</v>
      </c>
      <c r="H1962">
        <v>0.25</v>
      </c>
      <c r="I1962">
        <v>1</v>
      </c>
      <c r="Q1962" s="1"/>
      <c r="R1962" s="1">
        <v>1.1100000000000001</v>
      </c>
    </row>
    <row r="1963" spans="1:18" ht="15.75" customHeight="1" x14ac:dyDescent="0.25">
      <c r="A1963" s="2">
        <v>5444411</v>
      </c>
      <c r="B1963">
        <v>5444411</v>
      </c>
      <c r="C1963" t="str">
        <f>HYPERLINK("https://ois.dk/map/5444411/sfe", "Link")</f>
        <v>Link</v>
      </c>
      <c r="D1963" t="s">
        <v>2872</v>
      </c>
      <c r="E1963" s="17">
        <v>1.75</v>
      </c>
      <c r="F1963" t="s">
        <v>2873</v>
      </c>
      <c r="G1963">
        <v>0.5</v>
      </c>
      <c r="H1963">
        <v>0.25</v>
      </c>
      <c r="I1963">
        <v>1</v>
      </c>
      <c r="Q1963" s="1"/>
      <c r="R1963" s="1">
        <v>0.9</v>
      </c>
    </row>
    <row r="1964" spans="1:18" ht="15.75" customHeight="1" x14ac:dyDescent="0.25">
      <c r="A1964" s="2">
        <v>5444412</v>
      </c>
      <c r="B1964">
        <v>5444412</v>
      </c>
      <c r="C1964" t="str">
        <f>HYPERLINK("https://ois.dk/map/5444412/sfe", "Link")</f>
        <v>Link</v>
      </c>
      <c r="D1964" t="s">
        <v>2874</v>
      </c>
      <c r="E1964" s="17">
        <v>1.75</v>
      </c>
      <c r="F1964" t="s">
        <v>2875</v>
      </c>
      <c r="G1964">
        <v>0.5</v>
      </c>
      <c r="H1964">
        <v>0.25</v>
      </c>
      <c r="I1964">
        <v>1</v>
      </c>
      <c r="Q1964" s="1"/>
      <c r="R1964" s="1">
        <v>0.87</v>
      </c>
    </row>
    <row r="1965" spans="1:18" ht="15.75" customHeight="1" x14ac:dyDescent="0.25">
      <c r="A1965" s="2">
        <v>5444413</v>
      </c>
      <c r="B1965">
        <v>5444413</v>
      </c>
      <c r="C1965" t="str">
        <f>HYPERLINK("https://ois.dk/map/5444413/sfe", "Link")</f>
        <v>Link</v>
      </c>
      <c r="D1965" t="s">
        <v>2876</v>
      </c>
      <c r="E1965" s="17">
        <v>1.75</v>
      </c>
      <c r="F1965" t="s">
        <v>2877</v>
      </c>
      <c r="G1965">
        <v>0.5</v>
      </c>
      <c r="H1965">
        <v>0.25</v>
      </c>
      <c r="I1965">
        <v>1</v>
      </c>
      <c r="Q1965" s="1"/>
      <c r="R1965" s="1">
        <v>0.79</v>
      </c>
    </row>
    <row r="1966" spans="1:18" ht="15.75" customHeight="1" x14ac:dyDescent="0.25">
      <c r="A1966" s="2">
        <v>5444414</v>
      </c>
      <c r="B1966">
        <v>5444414</v>
      </c>
      <c r="C1966" t="str">
        <f>HYPERLINK("https://ois.dk/map/5444414/sfe", "Link")</f>
        <v>Link</v>
      </c>
      <c r="D1966" t="s">
        <v>2878</v>
      </c>
      <c r="E1966" s="17">
        <v>1.75</v>
      </c>
      <c r="F1966" t="s">
        <v>2879</v>
      </c>
      <c r="G1966">
        <v>0.5</v>
      </c>
      <c r="H1966">
        <v>0.25</v>
      </c>
      <c r="I1966">
        <v>1</v>
      </c>
      <c r="Q1966" s="1"/>
      <c r="R1966" s="1">
        <v>0.72</v>
      </c>
    </row>
    <row r="1967" spans="1:18" ht="15.75" customHeight="1" x14ac:dyDescent="0.25">
      <c r="A1967" s="2">
        <v>5444415</v>
      </c>
      <c r="B1967">
        <v>5444415</v>
      </c>
      <c r="C1967" t="str">
        <f>HYPERLINK("https://ois.dk/map/5444415/sfe", "Link")</f>
        <v>Link</v>
      </c>
      <c r="D1967" t="s">
        <v>2880</v>
      </c>
      <c r="E1967" s="17">
        <v>1.75</v>
      </c>
      <c r="F1967" t="s">
        <v>2881</v>
      </c>
      <c r="G1967">
        <v>0.5</v>
      </c>
      <c r="H1967">
        <v>0.25</v>
      </c>
      <c r="I1967">
        <v>1</v>
      </c>
      <c r="Q1967" s="1"/>
      <c r="R1967" s="1">
        <v>0.67</v>
      </c>
    </row>
    <row r="1968" spans="1:18" ht="15.75" customHeight="1" x14ac:dyDescent="0.25">
      <c r="A1968" s="2">
        <v>5444417</v>
      </c>
      <c r="B1968">
        <v>5444417</v>
      </c>
      <c r="C1968" t="str">
        <f>HYPERLINK("https://ois.dk/map/5444417/sfe", "Link")</f>
        <v>Link</v>
      </c>
      <c r="D1968" t="s">
        <v>2882</v>
      </c>
      <c r="E1968" s="17">
        <v>1.75</v>
      </c>
      <c r="F1968" t="s">
        <v>2883</v>
      </c>
      <c r="G1968">
        <v>0.5</v>
      </c>
      <c r="H1968">
        <v>0.25</v>
      </c>
      <c r="I1968">
        <v>1</v>
      </c>
      <c r="Q1968" s="1"/>
      <c r="R1968" s="1">
        <v>1.06</v>
      </c>
    </row>
    <row r="1969" spans="1:18" ht="15.75" customHeight="1" x14ac:dyDescent="0.25">
      <c r="A1969" s="2">
        <v>5444418</v>
      </c>
      <c r="B1969">
        <v>5444418</v>
      </c>
      <c r="C1969" t="str">
        <f>HYPERLINK("https://ois.dk/map/5444418/sfe", "Link")</f>
        <v>Link</v>
      </c>
      <c r="D1969" t="s">
        <v>2884</v>
      </c>
      <c r="E1969" s="17">
        <v>1.75</v>
      </c>
      <c r="F1969" t="s">
        <v>2885</v>
      </c>
      <c r="G1969">
        <v>0.5</v>
      </c>
      <c r="H1969">
        <v>0.25</v>
      </c>
      <c r="I1969">
        <v>1</v>
      </c>
      <c r="Q1969" s="1"/>
      <c r="R1969" s="1">
        <v>1.1000000000000001</v>
      </c>
    </row>
    <row r="1970" spans="1:18" ht="15.75" customHeight="1" x14ac:dyDescent="0.25">
      <c r="A1970" s="2">
        <v>5444419</v>
      </c>
      <c r="B1970">
        <v>5444419</v>
      </c>
      <c r="C1970" t="str">
        <f>HYPERLINK("https://ois.dk/map/5444419/sfe", "Link")</f>
        <v>Link</v>
      </c>
      <c r="D1970" t="s">
        <v>2886</v>
      </c>
      <c r="E1970" s="17">
        <v>1.75</v>
      </c>
      <c r="F1970" t="s">
        <v>2887</v>
      </c>
      <c r="G1970">
        <v>0.5</v>
      </c>
      <c r="H1970">
        <v>0.25</v>
      </c>
      <c r="I1970">
        <v>1</v>
      </c>
      <c r="Q1970" s="1"/>
      <c r="R1970" s="1">
        <v>1.06</v>
      </c>
    </row>
    <row r="1971" spans="1:18" ht="15.75" customHeight="1" x14ac:dyDescent="0.25">
      <c r="A1971" s="2">
        <v>5444420</v>
      </c>
      <c r="B1971">
        <v>5444420</v>
      </c>
      <c r="C1971" t="str">
        <f>HYPERLINK("https://ois.dk/map/5444420/sfe", "Link")</f>
        <v>Link</v>
      </c>
      <c r="D1971" t="s">
        <v>2888</v>
      </c>
      <c r="E1971" s="17">
        <v>1.75</v>
      </c>
      <c r="F1971" t="s">
        <v>2889</v>
      </c>
      <c r="G1971">
        <v>0.5</v>
      </c>
      <c r="H1971">
        <v>0.25</v>
      </c>
      <c r="I1971">
        <v>1</v>
      </c>
      <c r="Q1971" s="1"/>
      <c r="R1971" s="1">
        <v>1.05</v>
      </c>
    </row>
    <row r="1972" spans="1:18" ht="15.75" customHeight="1" x14ac:dyDescent="0.25">
      <c r="A1972" s="2">
        <v>5444421</v>
      </c>
      <c r="B1972">
        <v>5444421</v>
      </c>
      <c r="C1972" t="str">
        <f>HYPERLINK("https://ois.dk/map/5444421/sfe", "Link")</f>
        <v>Link</v>
      </c>
      <c r="D1972" t="s">
        <v>2890</v>
      </c>
      <c r="E1972" s="17">
        <v>1.75</v>
      </c>
      <c r="F1972" t="s">
        <v>2891</v>
      </c>
      <c r="G1972">
        <v>0.5</v>
      </c>
      <c r="H1972">
        <v>0.25</v>
      </c>
      <c r="I1972">
        <v>1</v>
      </c>
      <c r="Q1972" s="1"/>
      <c r="R1972" s="1">
        <v>1.04</v>
      </c>
    </row>
    <row r="1973" spans="1:18" ht="15.75" customHeight="1" x14ac:dyDescent="0.25">
      <c r="A1973" s="2">
        <v>5444422</v>
      </c>
      <c r="B1973">
        <v>5444422</v>
      </c>
      <c r="C1973" t="str">
        <f>HYPERLINK("https://ois.dk/map/5444422/sfe", "Link")</f>
        <v>Link</v>
      </c>
      <c r="D1973" t="s">
        <v>2892</v>
      </c>
      <c r="E1973" s="17">
        <v>1.75</v>
      </c>
      <c r="F1973" t="s">
        <v>2893</v>
      </c>
      <c r="G1973">
        <v>0.5</v>
      </c>
      <c r="H1973">
        <v>0.25</v>
      </c>
      <c r="I1973">
        <v>1</v>
      </c>
      <c r="Q1973" s="1"/>
      <c r="R1973" s="1">
        <v>1.06</v>
      </c>
    </row>
    <row r="1974" spans="1:18" ht="15.75" customHeight="1" x14ac:dyDescent="0.25">
      <c r="A1974" s="2">
        <v>5444423</v>
      </c>
      <c r="B1974">
        <v>5444423</v>
      </c>
      <c r="C1974" t="str">
        <f>HYPERLINK("https://ois.dk/map/5444423/sfe", "Link")</f>
        <v>Link</v>
      </c>
      <c r="D1974" t="s">
        <v>2894</v>
      </c>
      <c r="E1974" s="17">
        <v>1.75</v>
      </c>
      <c r="F1974" t="s">
        <v>2895</v>
      </c>
      <c r="G1974">
        <v>0.5</v>
      </c>
      <c r="H1974">
        <v>0.25</v>
      </c>
      <c r="I1974">
        <v>1</v>
      </c>
      <c r="Q1974" s="1"/>
      <c r="R1974" s="1">
        <v>1.06</v>
      </c>
    </row>
    <row r="1975" spans="1:18" ht="15.75" customHeight="1" x14ac:dyDescent="0.25">
      <c r="A1975" s="2">
        <v>5444424</v>
      </c>
      <c r="B1975">
        <v>5444424</v>
      </c>
      <c r="C1975" t="str">
        <f>HYPERLINK("https://ois.dk/map/5444424/sfe", "Link")</f>
        <v>Link</v>
      </c>
      <c r="D1975" t="s">
        <v>2896</v>
      </c>
      <c r="E1975" s="17">
        <v>1.75</v>
      </c>
      <c r="F1975" t="s">
        <v>2897</v>
      </c>
      <c r="G1975">
        <v>0.5</v>
      </c>
      <c r="H1975">
        <v>0.25</v>
      </c>
      <c r="I1975">
        <v>1</v>
      </c>
      <c r="Q1975" s="1"/>
      <c r="R1975" s="1">
        <v>1.07</v>
      </c>
    </row>
    <row r="1976" spans="1:18" ht="15.75" customHeight="1" x14ac:dyDescent="0.25">
      <c r="A1976" s="2">
        <v>5444433</v>
      </c>
      <c r="B1976">
        <v>5444433</v>
      </c>
      <c r="C1976" t="str">
        <f>HYPERLINK("https://ois.dk/map/5444433/sfe", "Link")</f>
        <v>Link</v>
      </c>
      <c r="D1976" t="s">
        <v>2898</v>
      </c>
      <c r="E1976" s="17">
        <v>1.75</v>
      </c>
      <c r="F1976" t="s">
        <v>2899</v>
      </c>
      <c r="G1976">
        <v>0.5</v>
      </c>
      <c r="H1976">
        <v>0.25</v>
      </c>
      <c r="I1976">
        <v>1</v>
      </c>
      <c r="Q1976" s="1"/>
      <c r="R1976" s="1">
        <v>1.1299999999999999</v>
      </c>
    </row>
    <row r="1977" spans="1:18" ht="15.75" customHeight="1" x14ac:dyDescent="0.25">
      <c r="A1977" s="2">
        <v>5444434</v>
      </c>
      <c r="B1977">
        <v>5444434</v>
      </c>
      <c r="C1977" t="str">
        <f>HYPERLINK("https://ois.dk/map/5444434/sfe", "Link")</f>
        <v>Link</v>
      </c>
      <c r="D1977" t="s">
        <v>2900</v>
      </c>
      <c r="E1977" s="17">
        <v>1.75</v>
      </c>
      <c r="F1977" t="s">
        <v>2901</v>
      </c>
      <c r="G1977">
        <v>0.5</v>
      </c>
      <c r="H1977">
        <v>0.25</v>
      </c>
      <c r="I1977">
        <v>1</v>
      </c>
      <c r="Q1977" s="1"/>
      <c r="R1977" s="1">
        <v>1.0900000000000001</v>
      </c>
    </row>
    <row r="1978" spans="1:18" ht="15.75" customHeight="1" x14ac:dyDescent="0.25">
      <c r="A1978" s="2">
        <v>5444435</v>
      </c>
      <c r="B1978">
        <v>5444435</v>
      </c>
      <c r="C1978" t="str">
        <f>HYPERLINK("https://ois.dk/map/5444435/sfe", "Link")</f>
        <v>Link</v>
      </c>
      <c r="D1978" t="s">
        <v>2902</v>
      </c>
      <c r="E1978" s="17">
        <v>1.75</v>
      </c>
      <c r="F1978" t="s">
        <v>2903</v>
      </c>
      <c r="G1978">
        <v>0.5</v>
      </c>
      <c r="H1978">
        <v>0.25</v>
      </c>
      <c r="I1978">
        <v>1</v>
      </c>
      <c r="Q1978" s="1"/>
      <c r="R1978" s="1">
        <v>1.1100000000000001</v>
      </c>
    </row>
    <row r="1979" spans="1:18" ht="15.75" customHeight="1" x14ac:dyDescent="0.25">
      <c r="A1979" s="2">
        <v>5444436</v>
      </c>
      <c r="B1979">
        <v>5444436</v>
      </c>
      <c r="C1979" t="str">
        <f>HYPERLINK("https://ois.dk/map/5444436/sfe", "Link")</f>
        <v>Link</v>
      </c>
      <c r="D1979" t="s">
        <v>2904</v>
      </c>
      <c r="E1979" s="17">
        <v>1.75</v>
      </c>
      <c r="F1979" t="s">
        <v>2905</v>
      </c>
      <c r="G1979">
        <v>0.5</v>
      </c>
      <c r="H1979">
        <v>0.25</v>
      </c>
      <c r="I1979">
        <v>1</v>
      </c>
      <c r="Q1979" s="1"/>
      <c r="R1979" s="1">
        <v>1.1399999999999999</v>
      </c>
    </row>
    <row r="1980" spans="1:18" ht="15.75" customHeight="1" x14ac:dyDescent="0.25">
      <c r="A1980" s="2">
        <v>5444437</v>
      </c>
      <c r="B1980">
        <v>5444437</v>
      </c>
      <c r="C1980" t="str">
        <f>HYPERLINK("https://ois.dk/map/5444437/sfe", "Link")</f>
        <v>Link</v>
      </c>
      <c r="D1980" t="s">
        <v>2906</v>
      </c>
      <c r="E1980" s="17">
        <v>1.75</v>
      </c>
      <c r="F1980" t="s">
        <v>2907</v>
      </c>
      <c r="G1980">
        <v>0.5</v>
      </c>
      <c r="H1980">
        <v>0.25</v>
      </c>
      <c r="I1980">
        <v>1</v>
      </c>
      <c r="Q1980" s="1"/>
      <c r="R1980" s="1">
        <v>1.1299999999999999</v>
      </c>
    </row>
    <row r="1981" spans="1:18" ht="15.75" customHeight="1" x14ac:dyDescent="0.25">
      <c r="A1981" s="2">
        <v>5444438</v>
      </c>
      <c r="B1981">
        <v>5444438</v>
      </c>
      <c r="C1981" t="str">
        <f>HYPERLINK("https://ois.dk/map/5444438/sfe", "Link")</f>
        <v>Link</v>
      </c>
      <c r="D1981" t="s">
        <v>2908</v>
      </c>
      <c r="E1981" s="17">
        <v>0.75</v>
      </c>
      <c r="G1981">
        <v>0.5</v>
      </c>
      <c r="H1981">
        <v>0.25</v>
      </c>
      <c r="Q1981" s="1"/>
      <c r="R1981" s="1"/>
    </row>
    <row r="1982" spans="1:18" ht="15.75" customHeight="1" x14ac:dyDescent="0.25">
      <c r="A1982" s="2">
        <v>5444445</v>
      </c>
      <c r="B1982">
        <v>5444445</v>
      </c>
      <c r="C1982" t="str">
        <f>HYPERLINK("https://ois.dk/map/5444445/sfe", "Link")</f>
        <v>Link</v>
      </c>
      <c r="D1982" t="s">
        <v>2909</v>
      </c>
      <c r="E1982" s="17">
        <v>0.75</v>
      </c>
      <c r="F1982" t="s">
        <v>2910</v>
      </c>
      <c r="G1982">
        <v>0.5</v>
      </c>
      <c r="H1982">
        <v>0.25</v>
      </c>
      <c r="Q1982" s="1"/>
      <c r="R1982" s="1"/>
    </row>
    <row r="1983" spans="1:18" ht="15.75" customHeight="1" x14ac:dyDescent="0.25">
      <c r="A1983" s="2">
        <v>5444448</v>
      </c>
      <c r="B1983">
        <v>5444448</v>
      </c>
      <c r="C1983" t="str">
        <f>HYPERLINK("https://ois.dk/map/5444448/sfe", "Link")</f>
        <v>Link</v>
      </c>
      <c r="D1983" t="s">
        <v>2911</v>
      </c>
      <c r="E1983" s="17">
        <v>1.75</v>
      </c>
      <c r="F1983" t="s">
        <v>2912</v>
      </c>
      <c r="G1983">
        <v>0.5</v>
      </c>
      <c r="H1983">
        <v>0.25</v>
      </c>
      <c r="I1983">
        <v>1</v>
      </c>
      <c r="Q1983" s="1"/>
      <c r="R1983" s="1">
        <v>0.72</v>
      </c>
    </row>
    <row r="1984" spans="1:18" ht="15.75" customHeight="1" x14ac:dyDescent="0.25">
      <c r="A1984" s="2">
        <v>5444456</v>
      </c>
      <c r="B1984">
        <v>5444456</v>
      </c>
      <c r="C1984" t="str">
        <f>HYPERLINK("https://ois.dk/map/5444456/sfe", "Link")</f>
        <v>Link</v>
      </c>
      <c r="D1984" t="s">
        <v>2913</v>
      </c>
      <c r="E1984" s="17">
        <v>1.75</v>
      </c>
      <c r="F1984" t="s">
        <v>2914</v>
      </c>
      <c r="G1984">
        <v>0.5</v>
      </c>
      <c r="H1984">
        <v>0.25</v>
      </c>
      <c r="I1984">
        <v>1</v>
      </c>
      <c r="Q1984" s="1"/>
      <c r="R1984" s="1">
        <v>1.35</v>
      </c>
    </row>
    <row r="1985" spans="1:19" ht="15.75" customHeight="1" x14ac:dyDescent="0.25">
      <c r="A1985" s="2">
        <v>5444457</v>
      </c>
      <c r="B1985">
        <v>5444457</v>
      </c>
      <c r="C1985" t="str">
        <f>HYPERLINK("https://ois.dk/map/5444457/sfe", "Link")</f>
        <v>Link</v>
      </c>
      <c r="D1985" t="s">
        <v>2915</v>
      </c>
      <c r="E1985" s="17">
        <v>0.25</v>
      </c>
      <c r="F1985" t="s">
        <v>2916</v>
      </c>
      <c r="H1985">
        <v>0.25</v>
      </c>
      <c r="Q1985" s="1"/>
      <c r="R1985" s="1">
        <v>0.63</v>
      </c>
    </row>
    <row r="1986" spans="1:19" ht="15.75" customHeight="1" x14ac:dyDescent="0.25">
      <c r="A1986" s="2">
        <v>5444457</v>
      </c>
      <c r="B1986">
        <v>5444457</v>
      </c>
      <c r="C1986" t="str">
        <f>HYPERLINK("https://ois.dk/map/5444457/sfe", "Link")</f>
        <v>Link</v>
      </c>
      <c r="D1986" t="s">
        <v>2915</v>
      </c>
      <c r="E1986" s="17">
        <v>1.5</v>
      </c>
      <c r="F1986" t="s">
        <v>2916</v>
      </c>
      <c r="G1986">
        <v>0.5</v>
      </c>
      <c r="I1986">
        <v>1</v>
      </c>
      <c r="Q1986" s="1"/>
      <c r="R1986" s="1">
        <v>0.63</v>
      </c>
    </row>
    <row r="1987" spans="1:19" ht="15.75" customHeight="1" x14ac:dyDescent="0.25">
      <c r="A1987" s="2">
        <v>5444457</v>
      </c>
      <c r="B1987">
        <v>5444457</v>
      </c>
      <c r="C1987" t="str">
        <f>HYPERLINK("https://ois.dk/map/5444457/sfe", "Link")</f>
        <v>Link</v>
      </c>
      <c r="D1987" t="s">
        <v>2915</v>
      </c>
      <c r="E1987" s="17">
        <v>1.5</v>
      </c>
      <c r="F1987" t="s">
        <v>2916</v>
      </c>
      <c r="G1987">
        <v>0.5</v>
      </c>
      <c r="I1987">
        <v>1</v>
      </c>
      <c r="Q1987" s="1"/>
      <c r="R1987" s="1">
        <v>0.63</v>
      </c>
    </row>
    <row r="1988" spans="1:19" ht="15.75" customHeight="1" x14ac:dyDescent="0.25">
      <c r="A1988" s="2">
        <v>5444459</v>
      </c>
      <c r="B1988">
        <v>5444459</v>
      </c>
      <c r="C1988" t="str">
        <f>HYPERLINK("https://ois.dk/map/5444459/sfe", "Link")</f>
        <v>Link</v>
      </c>
      <c r="D1988" t="s">
        <v>2917</v>
      </c>
      <c r="E1988" s="17">
        <v>0.75</v>
      </c>
      <c r="F1988" t="s">
        <v>2918</v>
      </c>
      <c r="G1988">
        <v>0.5</v>
      </c>
      <c r="H1988">
        <v>0.25</v>
      </c>
      <c r="Q1988" s="1"/>
      <c r="R1988" s="1"/>
    </row>
    <row r="1989" spans="1:19" ht="15.75" customHeight="1" x14ac:dyDescent="0.25">
      <c r="A1989" s="2">
        <v>5444463</v>
      </c>
      <c r="B1989">
        <v>5444463</v>
      </c>
      <c r="C1989" t="str">
        <f>HYPERLINK("https://ois.dk/map/5444463/sfe", "Link")</f>
        <v>Link</v>
      </c>
      <c r="D1989" t="s">
        <v>221</v>
      </c>
      <c r="E1989" s="17">
        <v>0.5</v>
      </c>
      <c r="G1989">
        <v>0.5</v>
      </c>
      <c r="Q1989" s="1"/>
      <c r="R1989" s="1"/>
    </row>
    <row r="1990" spans="1:19" ht="15.75" customHeight="1" x14ac:dyDescent="0.25">
      <c r="A1990" s="2">
        <v>5444466</v>
      </c>
      <c r="B1990">
        <v>5444466</v>
      </c>
      <c r="C1990" t="str">
        <f>HYPERLINK("https://ois.dk/map/5444466/sfe", "Link")</f>
        <v>Link</v>
      </c>
      <c r="D1990" t="s">
        <v>507</v>
      </c>
      <c r="E1990" s="17">
        <v>0.75</v>
      </c>
      <c r="F1990" t="s">
        <v>2919</v>
      </c>
      <c r="G1990">
        <v>0.5</v>
      </c>
      <c r="H1990">
        <v>0.25</v>
      </c>
      <c r="Q1990" s="1"/>
      <c r="R1990" s="1"/>
    </row>
    <row r="1991" spans="1:19" ht="15.75" customHeight="1" x14ac:dyDescent="0.25">
      <c r="A1991" s="2">
        <v>5444467</v>
      </c>
      <c r="B1991">
        <v>5444467</v>
      </c>
      <c r="C1991" t="str">
        <f>HYPERLINK("https://ois.dk/map/5444467/sfe", "Link")</f>
        <v>Link</v>
      </c>
      <c r="D1991" t="s">
        <v>2920</v>
      </c>
      <c r="E1991" s="17">
        <v>0.75</v>
      </c>
      <c r="F1991" t="s">
        <v>2921</v>
      </c>
      <c r="G1991">
        <v>0.5</v>
      </c>
      <c r="H1991">
        <v>0.25</v>
      </c>
      <c r="Q1991" s="1"/>
      <c r="R1991" s="1"/>
    </row>
    <row r="1992" spans="1:19" ht="15.75" customHeight="1" x14ac:dyDescent="0.25">
      <c r="A1992" s="2">
        <v>5444468</v>
      </c>
      <c r="B1992">
        <v>5444468</v>
      </c>
      <c r="C1992" t="str">
        <f>HYPERLINK("https://ois.dk/map/5444468/sfe", "Link")</f>
        <v>Link</v>
      </c>
      <c r="D1992" t="s">
        <v>511</v>
      </c>
      <c r="E1992" s="17">
        <v>0.75</v>
      </c>
      <c r="F1992" t="s">
        <v>2922</v>
      </c>
      <c r="G1992">
        <v>0.5</v>
      </c>
      <c r="H1992">
        <v>0.25</v>
      </c>
      <c r="Q1992" s="1"/>
      <c r="R1992" s="1"/>
    </row>
    <row r="1993" spans="1:19" ht="15.75" customHeight="1" x14ac:dyDescent="0.25">
      <c r="A1993" s="2">
        <v>5444471</v>
      </c>
      <c r="B1993">
        <v>5444471</v>
      </c>
      <c r="C1993" t="str">
        <f>HYPERLINK("https://ois.dk/map/5444471/sfe", "Link")</f>
        <v>Link</v>
      </c>
      <c r="D1993" t="s">
        <v>521</v>
      </c>
      <c r="E1993" s="17">
        <v>0.75</v>
      </c>
      <c r="F1993" t="s">
        <v>2923</v>
      </c>
      <c r="G1993">
        <v>0.5</v>
      </c>
      <c r="H1993">
        <v>0.25</v>
      </c>
      <c r="Q1993" s="1"/>
      <c r="R1993" s="1"/>
    </row>
    <row r="1994" spans="1:19" ht="15.75" customHeight="1" x14ac:dyDescent="0.25">
      <c r="A1994" s="2">
        <v>5444472</v>
      </c>
      <c r="B1994">
        <v>5444472</v>
      </c>
      <c r="C1994" t="str">
        <f>HYPERLINK("https://ois.dk/map/5444472/sfe", "Link")</f>
        <v>Link</v>
      </c>
      <c r="D1994" t="s">
        <v>2924</v>
      </c>
      <c r="E1994" s="17">
        <v>0.75</v>
      </c>
      <c r="F1994" t="s">
        <v>2925</v>
      </c>
      <c r="G1994">
        <v>0.5</v>
      </c>
      <c r="H1994">
        <v>0.25</v>
      </c>
      <c r="Q1994" s="1"/>
      <c r="R1994" s="1"/>
    </row>
    <row r="1995" spans="1:19" ht="15.75" customHeight="1" x14ac:dyDescent="0.25">
      <c r="A1995" s="2">
        <v>5444473</v>
      </c>
      <c r="B1995">
        <v>5444473</v>
      </c>
      <c r="C1995" t="str">
        <f>HYPERLINK("https://ois.dk/map/5444473/sfe", "Link")</f>
        <v>Link</v>
      </c>
      <c r="D1995" t="s">
        <v>2926</v>
      </c>
      <c r="E1995" s="17">
        <v>0.55000000000000004</v>
      </c>
      <c r="F1995" t="s">
        <v>2927</v>
      </c>
      <c r="H1995">
        <v>0.25</v>
      </c>
      <c r="J1995">
        <v>0.3</v>
      </c>
      <c r="Q1995" s="1"/>
      <c r="R1995" s="1"/>
      <c r="S1995">
        <v>1.94</v>
      </c>
    </row>
    <row r="1996" spans="1:19" ht="15.75" customHeight="1" x14ac:dyDescent="0.25">
      <c r="A1996" s="2">
        <v>5444473</v>
      </c>
      <c r="B1996">
        <v>5444473</v>
      </c>
      <c r="C1996" t="str">
        <f>HYPERLINK("https://ois.dk/map/5444473/sfe", "Link")</f>
        <v>Link</v>
      </c>
      <c r="D1996" t="s">
        <v>2926</v>
      </c>
      <c r="E1996" s="17">
        <v>0.5</v>
      </c>
      <c r="F1996" t="s">
        <v>2928</v>
      </c>
      <c r="G1996">
        <v>0.5</v>
      </c>
      <c r="Q1996" s="1"/>
      <c r="R1996" s="1"/>
      <c r="S1996">
        <v>1.94</v>
      </c>
    </row>
    <row r="1997" spans="1:19" ht="15.75" customHeight="1" x14ac:dyDescent="0.25">
      <c r="A1997" s="2">
        <v>5444473</v>
      </c>
      <c r="B1997">
        <v>5444473</v>
      </c>
      <c r="C1997" t="str">
        <f>HYPERLINK("https://ois.dk/map/5444473/sfe", "Link")</f>
        <v>Link</v>
      </c>
      <c r="D1997" t="s">
        <v>2926</v>
      </c>
      <c r="E1997" s="17">
        <v>0.5</v>
      </c>
      <c r="F1997" t="s">
        <v>2929</v>
      </c>
      <c r="G1997">
        <v>0.5</v>
      </c>
      <c r="Q1997" s="1"/>
      <c r="R1997" s="1"/>
      <c r="S1997">
        <v>1.94</v>
      </c>
    </row>
    <row r="1998" spans="1:19" ht="15.75" customHeight="1" x14ac:dyDescent="0.25">
      <c r="A1998" s="2">
        <v>5444478</v>
      </c>
      <c r="B1998">
        <v>5444478</v>
      </c>
      <c r="C1998" t="str">
        <f>HYPERLINK("https://ois.dk/map/5444478/sfe", "Link")</f>
        <v>Link</v>
      </c>
      <c r="D1998" t="s">
        <v>2930</v>
      </c>
      <c r="E1998" s="17">
        <v>0.75</v>
      </c>
      <c r="F1998" t="s">
        <v>2931</v>
      </c>
      <c r="G1998">
        <v>0.5</v>
      </c>
      <c r="H1998">
        <v>0.25</v>
      </c>
      <c r="Q1998" s="1"/>
      <c r="R1998" s="1"/>
    </row>
    <row r="1999" spans="1:19" ht="15.75" customHeight="1" x14ac:dyDescent="0.25">
      <c r="A1999" s="2">
        <v>5444482</v>
      </c>
      <c r="B1999">
        <v>5444482</v>
      </c>
      <c r="C1999" t="str">
        <f t="shared" ref="C1999:C2007" si="53">HYPERLINK("https://ois.dk/map/5444482/sfe", "Link")</f>
        <v>Link</v>
      </c>
      <c r="D1999" t="s">
        <v>2932</v>
      </c>
      <c r="E1999" s="17">
        <v>0.25</v>
      </c>
      <c r="F1999" t="s">
        <v>2933</v>
      </c>
      <c r="H1999">
        <v>0.25</v>
      </c>
      <c r="Q1999" s="1"/>
      <c r="R1999" s="1">
        <v>1.21</v>
      </c>
    </row>
    <row r="2000" spans="1:19" ht="15.75" customHeight="1" x14ac:dyDescent="0.25">
      <c r="A2000" s="2">
        <v>5444482</v>
      </c>
      <c r="B2000">
        <v>5444482</v>
      </c>
      <c r="C2000" t="str">
        <f t="shared" si="53"/>
        <v>Link</v>
      </c>
      <c r="D2000" t="s">
        <v>2932</v>
      </c>
      <c r="E2000" s="17">
        <v>1.5</v>
      </c>
      <c r="F2000" t="s">
        <v>2934</v>
      </c>
      <c r="G2000">
        <v>0.5</v>
      </c>
      <c r="I2000">
        <v>1</v>
      </c>
      <c r="Q2000" s="1"/>
      <c r="R2000" s="1">
        <v>1.29</v>
      </c>
    </row>
    <row r="2001" spans="1:19" ht="15.75" customHeight="1" x14ac:dyDescent="0.25">
      <c r="A2001" s="2">
        <v>5444482</v>
      </c>
      <c r="B2001">
        <v>5444482</v>
      </c>
      <c r="C2001" t="str">
        <f t="shared" si="53"/>
        <v>Link</v>
      </c>
      <c r="D2001" t="s">
        <v>2932</v>
      </c>
      <c r="E2001" s="17">
        <v>1.5</v>
      </c>
      <c r="F2001" t="s">
        <v>2935</v>
      </c>
      <c r="G2001">
        <v>0.5</v>
      </c>
      <c r="I2001">
        <v>1</v>
      </c>
      <c r="Q2001" s="1"/>
      <c r="R2001" s="1">
        <v>1.37</v>
      </c>
    </row>
    <row r="2002" spans="1:19" ht="15.75" customHeight="1" x14ac:dyDescent="0.25">
      <c r="A2002" s="2">
        <v>5444482</v>
      </c>
      <c r="B2002">
        <v>5444482</v>
      </c>
      <c r="C2002" t="str">
        <f t="shared" si="53"/>
        <v>Link</v>
      </c>
      <c r="D2002" t="s">
        <v>2932</v>
      </c>
      <c r="E2002" s="17">
        <v>1.5</v>
      </c>
      <c r="F2002" t="s">
        <v>2936</v>
      </c>
      <c r="G2002">
        <v>0.5</v>
      </c>
      <c r="I2002">
        <v>1</v>
      </c>
      <c r="Q2002" s="1"/>
      <c r="R2002" s="1">
        <v>1.37</v>
      </c>
    </row>
    <row r="2003" spans="1:19" ht="15.75" customHeight="1" x14ac:dyDescent="0.25">
      <c r="A2003" s="2">
        <v>5444482</v>
      </c>
      <c r="B2003">
        <v>5444482</v>
      </c>
      <c r="C2003" t="str">
        <f t="shared" si="53"/>
        <v>Link</v>
      </c>
      <c r="D2003" t="s">
        <v>2932</v>
      </c>
      <c r="E2003" s="17">
        <v>1.5</v>
      </c>
      <c r="F2003" t="s">
        <v>2937</v>
      </c>
      <c r="G2003">
        <v>0.5</v>
      </c>
      <c r="I2003">
        <v>1</v>
      </c>
      <c r="Q2003" s="1"/>
      <c r="R2003" s="1">
        <v>1.49</v>
      </c>
    </row>
    <row r="2004" spans="1:19" ht="15.75" customHeight="1" x14ac:dyDescent="0.25">
      <c r="A2004" s="2">
        <v>5444482</v>
      </c>
      <c r="B2004">
        <v>5444482</v>
      </c>
      <c r="C2004" t="str">
        <f t="shared" si="53"/>
        <v>Link</v>
      </c>
      <c r="D2004" t="s">
        <v>2932</v>
      </c>
      <c r="E2004" s="17">
        <v>1.5</v>
      </c>
      <c r="F2004" t="s">
        <v>2938</v>
      </c>
      <c r="G2004">
        <v>0.5</v>
      </c>
      <c r="I2004">
        <v>1</v>
      </c>
      <c r="Q2004" s="1"/>
      <c r="R2004" s="1">
        <v>1.49</v>
      </c>
    </row>
    <row r="2005" spans="1:19" ht="15.75" customHeight="1" x14ac:dyDescent="0.25">
      <c r="A2005" s="2">
        <v>5444482</v>
      </c>
      <c r="B2005">
        <v>5444482</v>
      </c>
      <c r="C2005" t="str">
        <f t="shared" si="53"/>
        <v>Link</v>
      </c>
      <c r="D2005" t="s">
        <v>2932</v>
      </c>
      <c r="E2005" s="17">
        <v>1.5</v>
      </c>
      <c r="F2005" t="s">
        <v>2933</v>
      </c>
      <c r="G2005">
        <v>0.5</v>
      </c>
      <c r="I2005">
        <v>1</v>
      </c>
      <c r="Q2005" s="1"/>
      <c r="R2005" s="1">
        <v>1.21</v>
      </c>
    </row>
    <row r="2006" spans="1:19" ht="15.75" customHeight="1" x14ac:dyDescent="0.25">
      <c r="A2006" s="2">
        <v>5444482</v>
      </c>
      <c r="B2006">
        <v>5444482</v>
      </c>
      <c r="C2006" t="str">
        <f t="shared" si="53"/>
        <v>Link</v>
      </c>
      <c r="D2006" t="s">
        <v>2932</v>
      </c>
      <c r="E2006" s="17">
        <v>1.5</v>
      </c>
      <c r="F2006" t="s">
        <v>2939</v>
      </c>
      <c r="G2006">
        <v>0.5</v>
      </c>
      <c r="I2006">
        <v>1</v>
      </c>
      <c r="Q2006" s="1"/>
      <c r="R2006" s="1">
        <v>1.21</v>
      </c>
    </row>
    <row r="2007" spans="1:19" ht="15.75" customHeight="1" x14ac:dyDescent="0.25">
      <c r="A2007" s="2">
        <v>5444482</v>
      </c>
      <c r="B2007">
        <v>5444482</v>
      </c>
      <c r="C2007" t="str">
        <f t="shared" si="53"/>
        <v>Link</v>
      </c>
      <c r="D2007" t="s">
        <v>2932</v>
      </c>
      <c r="E2007" s="17">
        <v>1.5</v>
      </c>
      <c r="F2007" t="s">
        <v>2940</v>
      </c>
      <c r="G2007">
        <v>0.5</v>
      </c>
      <c r="I2007">
        <v>1</v>
      </c>
      <c r="Q2007" s="1"/>
      <c r="R2007" s="1">
        <v>1.29</v>
      </c>
    </row>
    <row r="2008" spans="1:19" ht="15.75" customHeight="1" x14ac:dyDescent="0.25">
      <c r="A2008" s="2">
        <v>5444486</v>
      </c>
      <c r="B2008">
        <v>5444486</v>
      </c>
      <c r="C2008" t="str">
        <f>HYPERLINK("https://ois.dk/map/5444486/sfe", "Link")</f>
        <v>Link</v>
      </c>
      <c r="D2008" t="s">
        <v>2941</v>
      </c>
      <c r="E2008" s="17">
        <v>0.25</v>
      </c>
      <c r="F2008" t="s">
        <v>2942</v>
      </c>
      <c r="H2008">
        <v>0.25</v>
      </c>
      <c r="Q2008" s="1"/>
      <c r="R2008" s="1">
        <v>1.63</v>
      </c>
    </row>
    <row r="2009" spans="1:19" ht="15.75" customHeight="1" x14ac:dyDescent="0.25">
      <c r="A2009" s="2">
        <v>5444486</v>
      </c>
      <c r="B2009">
        <v>5444486</v>
      </c>
      <c r="C2009" t="str">
        <f>HYPERLINK("https://ois.dk/map/5444486/sfe", "Link")</f>
        <v>Link</v>
      </c>
      <c r="D2009" t="s">
        <v>2941</v>
      </c>
      <c r="E2009" s="17">
        <v>1.5</v>
      </c>
      <c r="F2009" t="s">
        <v>2942</v>
      </c>
      <c r="G2009">
        <v>0.5</v>
      </c>
      <c r="I2009">
        <v>1</v>
      </c>
      <c r="Q2009" s="1"/>
      <c r="R2009" s="1">
        <v>1.63</v>
      </c>
    </row>
    <row r="2010" spans="1:19" ht="15.75" customHeight="1" x14ac:dyDescent="0.25">
      <c r="A2010" s="2">
        <v>5444486</v>
      </c>
      <c r="B2010">
        <v>5444486</v>
      </c>
      <c r="C2010" t="str">
        <f>HYPERLINK("https://ois.dk/map/5444486/sfe", "Link")</f>
        <v>Link</v>
      </c>
      <c r="D2010" t="s">
        <v>2941</v>
      </c>
      <c r="E2010" s="17">
        <v>1.5</v>
      </c>
      <c r="F2010" t="s">
        <v>2942</v>
      </c>
      <c r="G2010">
        <v>0.5</v>
      </c>
      <c r="I2010">
        <v>1</v>
      </c>
      <c r="Q2010" s="1"/>
      <c r="R2010" s="1">
        <v>1.63</v>
      </c>
    </row>
    <row r="2011" spans="1:19" ht="15.75" customHeight="1" x14ac:dyDescent="0.25">
      <c r="A2011" s="2">
        <v>5444491</v>
      </c>
      <c r="B2011">
        <v>5444491</v>
      </c>
      <c r="C2011" t="str">
        <f>HYPERLINK("https://ois.dk/map/5444491/sfe", "Link")</f>
        <v>Link</v>
      </c>
      <c r="D2011" t="s">
        <v>2943</v>
      </c>
      <c r="E2011" s="17">
        <v>1.05</v>
      </c>
      <c r="F2011" t="s">
        <v>2944</v>
      </c>
      <c r="G2011">
        <v>0.5</v>
      </c>
      <c r="H2011">
        <v>0.25</v>
      </c>
      <c r="J2011">
        <v>0.3</v>
      </c>
      <c r="Q2011" s="1"/>
      <c r="R2011" s="1"/>
      <c r="S2011">
        <v>1.87</v>
      </c>
    </row>
    <row r="2012" spans="1:19" ht="15.75" customHeight="1" x14ac:dyDescent="0.25">
      <c r="A2012" s="2">
        <v>5444492</v>
      </c>
      <c r="B2012">
        <v>5444492</v>
      </c>
      <c r="C2012" t="str">
        <f>HYPERLINK("https://ois.dk/map/5444492/sfe", "Link")</f>
        <v>Link</v>
      </c>
      <c r="D2012" t="s">
        <v>2945</v>
      </c>
      <c r="E2012" s="17">
        <v>1.05</v>
      </c>
      <c r="F2012" t="s">
        <v>2946</v>
      </c>
      <c r="G2012">
        <v>0.5</v>
      </c>
      <c r="H2012">
        <v>0.25</v>
      </c>
      <c r="J2012">
        <v>0.3</v>
      </c>
      <c r="Q2012" s="1"/>
      <c r="R2012" s="1"/>
      <c r="S2012">
        <v>1.44</v>
      </c>
    </row>
    <row r="2013" spans="1:19" ht="15.75" customHeight="1" x14ac:dyDescent="0.25">
      <c r="A2013" s="2">
        <v>5444493</v>
      </c>
      <c r="B2013">
        <v>5444493</v>
      </c>
      <c r="C2013" t="str">
        <f>HYPERLINK("https://ois.dk/map/5444493/sfe", "Link")</f>
        <v>Link</v>
      </c>
      <c r="D2013" t="s">
        <v>2947</v>
      </c>
      <c r="E2013" s="17">
        <v>1.05</v>
      </c>
      <c r="F2013" t="s">
        <v>2948</v>
      </c>
      <c r="G2013">
        <v>0.5</v>
      </c>
      <c r="H2013">
        <v>0.25</v>
      </c>
      <c r="J2013">
        <v>0.3</v>
      </c>
      <c r="Q2013" s="1"/>
      <c r="R2013" s="1"/>
      <c r="S2013">
        <v>1.45</v>
      </c>
    </row>
    <row r="2014" spans="1:19" ht="15.75" customHeight="1" x14ac:dyDescent="0.25">
      <c r="A2014" s="2">
        <v>5444494</v>
      </c>
      <c r="B2014">
        <v>5444494</v>
      </c>
      <c r="C2014" t="str">
        <f>HYPERLINK("https://ois.dk/map/5444494/sfe", "Link")</f>
        <v>Link</v>
      </c>
      <c r="D2014" t="s">
        <v>2949</v>
      </c>
      <c r="E2014" s="17">
        <v>2.0499999999999998</v>
      </c>
      <c r="F2014" t="s">
        <v>2950</v>
      </c>
      <c r="G2014">
        <v>0.5</v>
      </c>
      <c r="H2014">
        <v>0.25</v>
      </c>
      <c r="I2014">
        <v>1</v>
      </c>
      <c r="J2014">
        <v>0.3</v>
      </c>
      <c r="Q2014" s="1"/>
      <c r="R2014" s="1">
        <v>2.02</v>
      </c>
      <c r="S2014">
        <v>1.58</v>
      </c>
    </row>
    <row r="2015" spans="1:19" ht="15.75" customHeight="1" x14ac:dyDescent="0.25">
      <c r="A2015" s="2">
        <v>5444495</v>
      </c>
      <c r="B2015">
        <v>5444495</v>
      </c>
      <c r="C2015" t="str">
        <f>HYPERLINK("https://ois.dk/map/5444495/sfe", "Link")</f>
        <v>Link</v>
      </c>
      <c r="D2015" t="s">
        <v>2951</v>
      </c>
      <c r="E2015" s="17">
        <v>1.05</v>
      </c>
      <c r="F2015" t="s">
        <v>2952</v>
      </c>
      <c r="G2015">
        <v>0.5</v>
      </c>
      <c r="H2015">
        <v>0.25</v>
      </c>
      <c r="J2015">
        <v>0.3</v>
      </c>
      <c r="Q2015" s="1"/>
      <c r="R2015" s="1"/>
      <c r="S2015">
        <v>1.87</v>
      </c>
    </row>
    <row r="2016" spans="1:19" ht="15.75" customHeight="1" x14ac:dyDescent="0.25">
      <c r="A2016" s="2">
        <v>5444501</v>
      </c>
      <c r="B2016">
        <v>5444501</v>
      </c>
      <c r="C2016" t="str">
        <f>HYPERLINK("https://ois.dk/map/5444501/sfe", "Link")</f>
        <v>Link</v>
      </c>
      <c r="D2016" t="s">
        <v>2953</v>
      </c>
      <c r="E2016" s="17">
        <v>2.0499999999999998</v>
      </c>
      <c r="F2016" t="s">
        <v>2954</v>
      </c>
      <c r="G2016">
        <v>0.5</v>
      </c>
      <c r="H2016">
        <v>0.25</v>
      </c>
      <c r="I2016">
        <v>1</v>
      </c>
      <c r="J2016">
        <v>0.3</v>
      </c>
      <c r="Q2016" s="1"/>
      <c r="R2016" s="1">
        <v>1.94</v>
      </c>
      <c r="S2016">
        <v>1.68</v>
      </c>
    </row>
    <row r="2017" spans="1:19" ht="15.75" customHeight="1" x14ac:dyDescent="0.25">
      <c r="A2017" s="2">
        <v>5444502</v>
      </c>
      <c r="B2017">
        <v>5444502</v>
      </c>
      <c r="C2017" t="str">
        <f>HYPERLINK("https://ois.dk/map/5444502/sfe", "Link")</f>
        <v>Link</v>
      </c>
      <c r="D2017" t="s">
        <v>2955</v>
      </c>
      <c r="E2017" s="17">
        <v>2.0499999999999998</v>
      </c>
      <c r="F2017" t="s">
        <v>2956</v>
      </c>
      <c r="G2017">
        <v>0.5</v>
      </c>
      <c r="H2017">
        <v>0.25</v>
      </c>
      <c r="I2017">
        <v>1</v>
      </c>
      <c r="J2017">
        <v>0.3</v>
      </c>
      <c r="Q2017" s="1"/>
      <c r="R2017" s="1">
        <v>1.18</v>
      </c>
      <c r="S2017">
        <v>1.01</v>
      </c>
    </row>
    <row r="2018" spans="1:19" ht="15.75" customHeight="1" x14ac:dyDescent="0.25">
      <c r="A2018" s="2">
        <v>5444503</v>
      </c>
      <c r="B2018">
        <v>5444503</v>
      </c>
      <c r="C2018" t="str">
        <f>HYPERLINK("https://ois.dk/map/5444503/sfe", "Link")</f>
        <v>Link</v>
      </c>
      <c r="D2018" t="s">
        <v>2957</v>
      </c>
      <c r="E2018" s="17">
        <v>1.75</v>
      </c>
      <c r="F2018" t="s">
        <v>2958</v>
      </c>
      <c r="G2018">
        <v>0.5</v>
      </c>
      <c r="H2018">
        <v>0.25</v>
      </c>
      <c r="I2018">
        <v>1</v>
      </c>
      <c r="Q2018" s="1"/>
      <c r="R2018" s="1">
        <v>1.57</v>
      </c>
    </row>
    <row r="2019" spans="1:19" ht="15.75" customHeight="1" x14ac:dyDescent="0.25">
      <c r="A2019" s="2">
        <v>5444508</v>
      </c>
      <c r="B2019">
        <v>5444508</v>
      </c>
      <c r="C2019" t="str">
        <f>HYPERLINK("https://ois.dk/map/5444508/sfe", "Link")</f>
        <v>Link</v>
      </c>
      <c r="D2019" t="s">
        <v>2959</v>
      </c>
      <c r="E2019" s="17">
        <v>0.5</v>
      </c>
      <c r="G2019">
        <v>0.5</v>
      </c>
      <c r="Q2019" s="1"/>
      <c r="R2019" s="1"/>
    </row>
    <row r="2020" spans="1:19" ht="15.75" customHeight="1" x14ac:dyDescent="0.25">
      <c r="A2020" s="2">
        <v>5444511</v>
      </c>
      <c r="B2020">
        <v>5444511</v>
      </c>
      <c r="C2020" t="str">
        <f>HYPERLINK("https://ois.dk/map/5444511/sfe", "Link")</f>
        <v>Link</v>
      </c>
      <c r="D2020" t="s">
        <v>2960</v>
      </c>
      <c r="E2020" s="17">
        <v>0.85</v>
      </c>
      <c r="F2020" t="s">
        <v>2961</v>
      </c>
      <c r="G2020">
        <v>0.5</v>
      </c>
      <c r="H2020">
        <v>0.25</v>
      </c>
      <c r="P2020">
        <v>0.1</v>
      </c>
      <c r="Q2020" s="1"/>
      <c r="R2020" s="1"/>
    </row>
    <row r="2021" spans="1:19" ht="15.75" customHeight="1" x14ac:dyDescent="0.25">
      <c r="A2021" s="2">
        <v>5444513</v>
      </c>
      <c r="B2021">
        <v>5444513</v>
      </c>
      <c r="C2021" t="str">
        <f>HYPERLINK("https://ois.dk/map/5444513/sfe", "Link")</f>
        <v>Link</v>
      </c>
      <c r="D2021" t="s">
        <v>2962</v>
      </c>
      <c r="E2021" s="17">
        <v>0.85</v>
      </c>
      <c r="F2021" t="s">
        <v>2963</v>
      </c>
      <c r="G2021">
        <v>0.5</v>
      </c>
      <c r="H2021">
        <v>0.25</v>
      </c>
      <c r="P2021">
        <v>0.1</v>
      </c>
      <c r="Q2021" s="1"/>
      <c r="R2021" s="1"/>
    </row>
    <row r="2022" spans="1:19" ht="15.75" customHeight="1" x14ac:dyDescent="0.25">
      <c r="A2022" s="2">
        <v>5444514</v>
      </c>
      <c r="B2022">
        <v>5444514</v>
      </c>
      <c r="C2022" t="str">
        <f>HYPERLINK("https://ois.dk/map/5444514/sfe", "Link")</f>
        <v>Link</v>
      </c>
      <c r="D2022" t="s">
        <v>2964</v>
      </c>
      <c r="E2022" s="17">
        <v>0.85</v>
      </c>
      <c r="F2022" t="s">
        <v>2965</v>
      </c>
      <c r="G2022">
        <v>0.5</v>
      </c>
      <c r="H2022">
        <v>0.25</v>
      </c>
      <c r="P2022">
        <v>0.1</v>
      </c>
      <c r="Q2022" s="1"/>
      <c r="R2022" s="1"/>
    </row>
    <row r="2023" spans="1:19" ht="15.75" customHeight="1" x14ac:dyDescent="0.25">
      <c r="A2023" s="2">
        <v>5444515</v>
      </c>
      <c r="B2023">
        <v>5444515</v>
      </c>
      <c r="C2023" t="str">
        <f>HYPERLINK("https://ois.dk/map/5444515/sfe", "Link")</f>
        <v>Link</v>
      </c>
      <c r="D2023" t="s">
        <v>2966</v>
      </c>
      <c r="E2023" s="17">
        <v>0.85</v>
      </c>
      <c r="F2023" t="s">
        <v>2967</v>
      </c>
      <c r="G2023">
        <v>0.5</v>
      </c>
      <c r="H2023">
        <v>0.25</v>
      </c>
      <c r="P2023">
        <v>0.1</v>
      </c>
      <c r="Q2023" s="1"/>
      <c r="R2023" s="1"/>
    </row>
    <row r="2024" spans="1:19" ht="15.75" customHeight="1" x14ac:dyDescent="0.25">
      <c r="A2024" s="2">
        <v>5444521</v>
      </c>
      <c r="B2024">
        <v>5444521</v>
      </c>
      <c r="C2024" t="str">
        <f>HYPERLINK("https://ois.dk/map/5444521/sfe", "Link")</f>
        <v>Link</v>
      </c>
      <c r="D2024" t="s">
        <v>2968</v>
      </c>
      <c r="E2024" s="17">
        <v>0.75</v>
      </c>
      <c r="G2024">
        <v>0.5</v>
      </c>
      <c r="H2024">
        <v>0.25</v>
      </c>
      <c r="Q2024" s="1"/>
      <c r="R2024" s="1"/>
    </row>
    <row r="2025" spans="1:19" ht="15.75" customHeight="1" x14ac:dyDescent="0.25">
      <c r="A2025" s="2">
        <v>5444522</v>
      </c>
      <c r="B2025">
        <v>5444522</v>
      </c>
      <c r="C2025" t="str">
        <f>HYPERLINK("https://ois.dk/map/5444522/sfe", "Link")</f>
        <v>Link</v>
      </c>
      <c r="D2025" t="s">
        <v>611</v>
      </c>
      <c r="E2025" s="17">
        <v>1.75</v>
      </c>
      <c r="F2025" t="s">
        <v>2969</v>
      </c>
      <c r="G2025">
        <v>0.5</v>
      </c>
      <c r="H2025">
        <v>0.25</v>
      </c>
      <c r="I2025">
        <v>1</v>
      </c>
      <c r="Q2025" s="1"/>
      <c r="R2025" s="1">
        <v>1.1299999999999999</v>
      </c>
    </row>
    <row r="2026" spans="1:19" ht="15.75" customHeight="1" x14ac:dyDescent="0.25">
      <c r="A2026" s="2">
        <v>5444531</v>
      </c>
      <c r="B2026">
        <v>5444531</v>
      </c>
      <c r="C2026" t="str">
        <f>HYPERLINK("https://ois.dk/map/5444531/sfe", "Link")</f>
        <v>Link</v>
      </c>
      <c r="D2026" t="s">
        <v>2970</v>
      </c>
      <c r="E2026" s="17">
        <v>1.75</v>
      </c>
      <c r="F2026" t="s">
        <v>2971</v>
      </c>
      <c r="G2026">
        <v>0.5</v>
      </c>
      <c r="H2026">
        <v>0.25</v>
      </c>
      <c r="I2026">
        <v>1</v>
      </c>
      <c r="Q2026" s="1"/>
      <c r="R2026" s="1">
        <v>1.59</v>
      </c>
    </row>
    <row r="2027" spans="1:19" ht="15.75" customHeight="1" x14ac:dyDescent="0.25">
      <c r="A2027" s="2">
        <v>5444536</v>
      </c>
      <c r="B2027">
        <v>5444536</v>
      </c>
      <c r="C2027" t="str">
        <f>HYPERLINK("https://ois.dk/map/5444536/sfe", "Link")</f>
        <v>Link</v>
      </c>
      <c r="D2027" t="s">
        <v>2972</v>
      </c>
      <c r="E2027" s="17">
        <v>1.75</v>
      </c>
      <c r="F2027" t="s">
        <v>2973</v>
      </c>
      <c r="G2027">
        <v>0.5</v>
      </c>
      <c r="H2027">
        <v>0.25</v>
      </c>
      <c r="I2027">
        <v>1</v>
      </c>
      <c r="Q2027" s="1"/>
      <c r="R2027" s="1">
        <v>1.34</v>
      </c>
    </row>
    <row r="2028" spans="1:19" ht="15.75" customHeight="1" x14ac:dyDescent="0.25">
      <c r="A2028" s="2">
        <v>5444537</v>
      </c>
      <c r="B2028">
        <v>5444537</v>
      </c>
      <c r="C2028" t="str">
        <f>HYPERLINK("https://ois.dk/map/5444537/sfe", "Link")</f>
        <v>Link</v>
      </c>
      <c r="D2028" t="s">
        <v>2974</v>
      </c>
      <c r="E2028" s="17">
        <v>1.75</v>
      </c>
      <c r="F2028" t="s">
        <v>2975</v>
      </c>
      <c r="G2028">
        <v>0.5</v>
      </c>
      <c r="H2028">
        <v>0.25</v>
      </c>
      <c r="I2028">
        <v>1</v>
      </c>
      <c r="Q2028" s="1"/>
      <c r="R2028" s="1">
        <v>1.33</v>
      </c>
    </row>
    <row r="2029" spans="1:19" ht="15.75" customHeight="1" x14ac:dyDescent="0.25">
      <c r="A2029" s="2">
        <v>5444538</v>
      </c>
      <c r="B2029">
        <v>5444538</v>
      </c>
      <c r="C2029" t="str">
        <f>HYPERLINK("https://ois.dk/map/5444538/sfe", "Link")</f>
        <v>Link</v>
      </c>
      <c r="D2029" t="s">
        <v>2976</v>
      </c>
      <c r="E2029" s="17">
        <v>1.75</v>
      </c>
      <c r="F2029" t="s">
        <v>2977</v>
      </c>
      <c r="G2029">
        <v>0.5</v>
      </c>
      <c r="H2029">
        <v>0.25</v>
      </c>
      <c r="I2029">
        <v>1</v>
      </c>
      <c r="Q2029" s="1"/>
      <c r="R2029" s="1">
        <v>1.33</v>
      </c>
    </row>
    <row r="2030" spans="1:19" ht="15.75" customHeight="1" x14ac:dyDescent="0.25">
      <c r="A2030" s="2">
        <v>5444539</v>
      </c>
      <c r="B2030">
        <v>5444539</v>
      </c>
      <c r="C2030" t="str">
        <f>HYPERLINK("https://ois.dk/map/5444539/sfe", "Link")</f>
        <v>Link</v>
      </c>
      <c r="D2030" t="s">
        <v>2978</v>
      </c>
      <c r="E2030" s="17">
        <v>1.75</v>
      </c>
      <c r="F2030" t="s">
        <v>2979</v>
      </c>
      <c r="G2030">
        <v>0.5</v>
      </c>
      <c r="H2030">
        <v>0.25</v>
      </c>
      <c r="I2030">
        <v>1</v>
      </c>
      <c r="Q2030" s="1"/>
      <c r="R2030" s="1">
        <v>1.31</v>
      </c>
    </row>
    <row r="2031" spans="1:19" ht="15.75" customHeight="1" x14ac:dyDescent="0.25">
      <c r="A2031" s="2">
        <v>5444541</v>
      </c>
      <c r="B2031">
        <v>5444541</v>
      </c>
      <c r="C2031" t="str">
        <f>HYPERLINK("https://ois.dk/map/5444541/sfe", "Link")</f>
        <v>Link</v>
      </c>
      <c r="D2031" t="s">
        <v>2980</v>
      </c>
      <c r="E2031" s="17">
        <v>1.75</v>
      </c>
      <c r="F2031" t="s">
        <v>2981</v>
      </c>
      <c r="G2031">
        <v>0.5</v>
      </c>
      <c r="H2031">
        <v>0.25</v>
      </c>
      <c r="I2031">
        <v>1</v>
      </c>
      <c r="Q2031" s="1"/>
      <c r="R2031" s="1">
        <v>1.2</v>
      </c>
    </row>
    <row r="2032" spans="1:19" ht="15.75" customHeight="1" x14ac:dyDescent="0.25">
      <c r="A2032" s="2">
        <v>5444542</v>
      </c>
      <c r="B2032">
        <v>5444542</v>
      </c>
      <c r="C2032" t="str">
        <f>HYPERLINK("https://ois.dk/map/5444542/sfe", "Link")</f>
        <v>Link</v>
      </c>
      <c r="D2032" t="s">
        <v>2982</v>
      </c>
      <c r="E2032" s="17">
        <v>1.75</v>
      </c>
      <c r="F2032" t="s">
        <v>2983</v>
      </c>
      <c r="G2032">
        <v>0.5</v>
      </c>
      <c r="H2032">
        <v>0.25</v>
      </c>
      <c r="I2032">
        <v>1</v>
      </c>
      <c r="Q2032" s="1"/>
      <c r="R2032" s="1">
        <v>1.21</v>
      </c>
    </row>
    <row r="2033" spans="1:19" ht="15.75" customHeight="1" x14ac:dyDescent="0.25">
      <c r="A2033" s="2">
        <v>5444543</v>
      </c>
      <c r="B2033">
        <v>5444543</v>
      </c>
      <c r="C2033" t="str">
        <f>HYPERLINK("https://ois.dk/map/5444543/sfe", "Link")</f>
        <v>Link</v>
      </c>
      <c r="D2033" t="s">
        <v>2984</v>
      </c>
      <c r="E2033" s="17">
        <v>1.75</v>
      </c>
      <c r="F2033" t="s">
        <v>2985</v>
      </c>
      <c r="G2033">
        <v>0.5</v>
      </c>
      <c r="H2033">
        <v>0.25</v>
      </c>
      <c r="I2033">
        <v>1</v>
      </c>
      <c r="Q2033" s="1"/>
      <c r="R2033" s="1">
        <v>1.2</v>
      </c>
    </row>
    <row r="2034" spans="1:19" ht="15.75" customHeight="1" x14ac:dyDescent="0.25">
      <c r="A2034" s="2">
        <v>5444544</v>
      </c>
      <c r="B2034">
        <v>5444544</v>
      </c>
      <c r="C2034" t="str">
        <f>HYPERLINK("https://ois.dk/map/5444544/sfe", "Link")</f>
        <v>Link</v>
      </c>
      <c r="D2034" t="s">
        <v>2986</v>
      </c>
      <c r="E2034" s="17">
        <v>1.75</v>
      </c>
      <c r="F2034" t="s">
        <v>2987</v>
      </c>
      <c r="G2034">
        <v>0.5</v>
      </c>
      <c r="H2034">
        <v>0.25</v>
      </c>
      <c r="I2034">
        <v>1</v>
      </c>
      <c r="Q2034" s="1"/>
      <c r="R2034" s="1">
        <v>1.19</v>
      </c>
    </row>
    <row r="2035" spans="1:19" ht="15.75" customHeight="1" x14ac:dyDescent="0.25">
      <c r="A2035" s="2">
        <v>5444545</v>
      </c>
      <c r="B2035">
        <v>5444545</v>
      </c>
      <c r="C2035" t="str">
        <f>HYPERLINK("https://ois.dk/map/5444545/sfe", "Link")</f>
        <v>Link</v>
      </c>
      <c r="D2035" t="s">
        <v>2988</v>
      </c>
      <c r="E2035" s="17">
        <v>1.75</v>
      </c>
      <c r="F2035" t="s">
        <v>2989</v>
      </c>
      <c r="G2035">
        <v>0.5</v>
      </c>
      <c r="H2035">
        <v>0.25</v>
      </c>
      <c r="I2035">
        <v>1</v>
      </c>
      <c r="Q2035" s="1"/>
      <c r="R2035" s="1">
        <v>1.23</v>
      </c>
    </row>
    <row r="2036" spans="1:19" ht="15.75" customHeight="1" x14ac:dyDescent="0.25">
      <c r="A2036" s="2">
        <v>5444546</v>
      </c>
      <c r="B2036">
        <v>5444546</v>
      </c>
      <c r="C2036" t="str">
        <f>HYPERLINK("https://ois.dk/map/5444546/sfe", "Link")</f>
        <v>Link</v>
      </c>
      <c r="D2036" t="s">
        <v>2990</v>
      </c>
      <c r="E2036" s="17">
        <v>1.75</v>
      </c>
      <c r="F2036" t="s">
        <v>2991</v>
      </c>
      <c r="G2036">
        <v>0.5</v>
      </c>
      <c r="H2036">
        <v>0.25</v>
      </c>
      <c r="I2036">
        <v>1</v>
      </c>
      <c r="Q2036" s="1"/>
      <c r="R2036" s="1">
        <v>1.25</v>
      </c>
    </row>
    <row r="2037" spans="1:19" ht="15.75" customHeight="1" x14ac:dyDescent="0.25">
      <c r="A2037" s="2">
        <v>5444547</v>
      </c>
      <c r="B2037">
        <v>5444547</v>
      </c>
      <c r="C2037" t="str">
        <f>HYPERLINK("https://ois.dk/map/5444547/sfe", "Link")</f>
        <v>Link</v>
      </c>
      <c r="D2037" t="s">
        <v>2992</v>
      </c>
      <c r="E2037" s="17">
        <v>1.75</v>
      </c>
      <c r="F2037" t="s">
        <v>2993</v>
      </c>
      <c r="G2037">
        <v>0.5</v>
      </c>
      <c r="H2037">
        <v>0.25</v>
      </c>
      <c r="I2037">
        <v>1</v>
      </c>
      <c r="Q2037" s="1"/>
      <c r="R2037" s="1">
        <v>1.26</v>
      </c>
    </row>
    <row r="2038" spans="1:19" ht="15.75" customHeight="1" x14ac:dyDescent="0.25">
      <c r="A2038" s="2">
        <v>5444548</v>
      </c>
      <c r="B2038">
        <v>5444548</v>
      </c>
      <c r="C2038" t="str">
        <f>HYPERLINK("https://ois.dk/map/5444548/sfe", "Link")</f>
        <v>Link</v>
      </c>
      <c r="D2038" t="s">
        <v>2994</v>
      </c>
      <c r="E2038" s="17">
        <v>1.75</v>
      </c>
      <c r="F2038" t="s">
        <v>2995</v>
      </c>
      <c r="G2038">
        <v>0.5</v>
      </c>
      <c r="H2038">
        <v>0.25</v>
      </c>
      <c r="I2038">
        <v>1</v>
      </c>
      <c r="Q2038" s="1"/>
      <c r="R2038" s="1">
        <v>1.23</v>
      </c>
    </row>
    <row r="2039" spans="1:19" ht="15.75" customHeight="1" x14ac:dyDescent="0.25">
      <c r="A2039" s="2">
        <v>5444549</v>
      </c>
      <c r="B2039">
        <v>5444549</v>
      </c>
      <c r="C2039" t="str">
        <f>HYPERLINK("https://ois.dk/map/5444549/sfe", "Link")</f>
        <v>Link</v>
      </c>
      <c r="D2039" t="s">
        <v>2996</v>
      </c>
      <c r="E2039" s="17">
        <v>1.75</v>
      </c>
      <c r="F2039" t="s">
        <v>2997</v>
      </c>
      <c r="G2039">
        <v>0.5</v>
      </c>
      <c r="H2039">
        <v>0.25</v>
      </c>
      <c r="I2039">
        <v>1</v>
      </c>
      <c r="Q2039" s="1"/>
      <c r="R2039" s="1">
        <v>1.42</v>
      </c>
    </row>
    <row r="2040" spans="1:19" ht="15.75" customHeight="1" x14ac:dyDescent="0.25">
      <c r="A2040" s="2">
        <v>5444550</v>
      </c>
      <c r="B2040">
        <v>5444550</v>
      </c>
      <c r="C2040" t="str">
        <f>HYPERLINK("https://ois.dk/map/5444550/sfe", "Link")</f>
        <v>Link</v>
      </c>
      <c r="D2040" t="s">
        <v>2998</v>
      </c>
      <c r="E2040" s="17">
        <v>1.75</v>
      </c>
      <c r="F2040" t="s">
        <v>2999</v>
      </c>
      <c r="G2040">
        <v>0.5</v>
      </c>
      <c r="H2040">
        <v>0.25</v>
      </c>
      <c r="I2040">
        <v>1</v>
      </c>
      <c r="Q2040" s="1"/>
      <c r="R2040" s="1">
        <v>1.44</v>
      </c>
    </row>
    <row r="2041" spans="1:19" ht="15.75" customHeight="1" x14ac:dyDescent="0.25">
      <c r="A2041" s="2">
        <v>5444551</v>
      </c>
      <c r="B2041">
        <v>5444551</v>
      </c>
      <c r="C2041" t="str">
        <f>HYPERLINK("https://ois.dk/map/5444551/sfe", "Link")</f>
        <v>Link</v>
      </c>
      <c r="D2041" t="s">
        <v>3000</v>
      </c>
      <c r="E2041" s="17">
        <v>1.75</v>
      </c>
      <c r="F2041" t="s">
        <v>3001</v>
      </c>
      <c r="G2041">
        <v>0.5</v>
      </c>
      <c r="H2041">
        <v>0.25</v>
      </c>
      <c r="I2041">
        <v>1</v>
      </c>
      <c r="Q2041" s="1"/>
      <c r="R2041" s="1">
        <v>1.43</v>
      </c>
    </row>
    <row r="2042" spans="1:19" ht="15.75" customHeight="1" x14ac:dyDescent="0.25">
      <c r="A2042" s="2">
        <v>5444552</v>
      </c>
      <c r="B2042">
        <v>5444552</v>
      </c>
      <c r="C2042" t="str">
        <f>HYPERLINK("https://ois.dk/map/5444552/sfe", "Link")</f>
        <v>Link</v>
      </c>
      <c r="D2042" t="s">
        <v>3002</v>
      </c>
      <c r="E2042" s="17">
        <v>1.75</v>
      </c>
      <c r="F2042" t="s">
        <v>3003</v>
      </c>
      <c r="G2042">
        <v>0.5</v>
      </c>
      <c r="H2042">
        <v>0.25</v>
      </c>
      <c r="I2042">
        <v>1</v>
      </c>
      <c r="Q2042" s="1"/>
      <c r="R2042" s="1">
        <v>1.42</v>
      </c>
    </row>
    <row r="2043" spans="1:19" ht="15.75" customHeight="1" x14ac:dyDescent="0.25">
      <c r="A2043" s="2">
        <v>5444553</v>
      </c>
      <c r="B2043">
        <v>5444553</v>
      </c>
      <c r="C2043" t="str">
        <f>HYPERLINK("https://ois.dk/map/5444553/sfe", "Link")</f>
        <v>Link</v>
      </c>
      <c r="D2043" t="s">
        <v>3004</v>
      </c>
      <c r="E2043" s="17">
        <v>1.75</v>
      </c>
      <c r="F2043" t="s">
        <v>3005</v>
      </c>
      <c r="G2043">
        <v>0.5</v>
      </c>
      <c r="H2043">
        <v>0.25</v>
      </c>
      <c r="I2043">
        <v>1</v>
      </c>
      <c r="Q2043" s="1"/>
      <c r="R2043" s="1">
        <v>1.43</v>
      </c>
    </row>
    <row r="2044" spans="1:19" ht="15.75" customHeight="1" x14ac:dyDescent="0.25">
      <c r="A2044" s="2">
        <v>5444554</v>
      </c>
      <c r="B2044">
        <v>5444554</v>
      </c>
      <c r="C2044" t="str">
        <f>HYPERLINK("https://ois.dk/map/5444554/sfe", "Link")</f>
        <v>Link</v>
      </c>
      <c r="D2044" t="s">
        <v>3006</v>
      </c>
      <c r="E2044" s="17">
        <v>0.75</v>
      </c>
      <c r="G2044">
        <v>0.5</v>
      </c>
      <c r="H2044">
        <v>0.25</v>
      </c>
      <c r="Q2044" s="1"/>
      <c r="R2044" s="1"/>
    </row>
    <row r="2045" spans="1:19" ht="15.75" customHeight="1" x14ac:dyDescent="0.25">
      <c r="A2045" s="2">
        <v>5444561</v>
      </c>
      <c r="B2045">
        <v>5444561</v>
      </c>
      <c r="C2045" t="str">
        <f>HYPERLINK("https://ois.dk/map/5444561/sfe", "Link")</f>
        <v>Link</v>
      </c>
      <c r="D2045" t="s">
        <v>3007</v>
      </c>
      <c r="E2045" s="17">
        <v>0.5</v>
      </c>
      <c r="G2045">
        <v>0.5</v>
      </c>
      <c r="Q2045" s="1"/>
      <c r="R2045" s="1"/>
    </row>
    <row r="2046" spans="1:19" ht="15.75" customHeight="1" x14ac:dyDescent="0.25">
      <c r="A2046" s="2">
        <v>5444565</v>
      </c>
      <c r="B2046">
        <v>5444565</v>
      </c>
      <c r="C2046" t="str">
        <f>HYPERLINK("https://ois.dk/map/5444565/sfe", "Link")</f>
        <v>Link</v>
      </c>
      <c r="D2046" t="s">
        <v>684</v>
      </c>
      <c r="E2046" s="17">
        <v>0.5</v>
      </c>
      <c r="G2046">
        <v>0.5</v>
      </c>
      <c r="Q2046" s="1"/>
      <c r="R2046" s="1"/>
    </row>
    <row r="2047" spans="1:19" ht="15.75" customHeight="1" x14ac:dyDescent="0.25">
      <c r="A2047" s="2">
        <v>5444567</v>
      </c>
      <c r="B2047">
        <v>5444567</v>
      </c>
      <c r="C2047" t="str">
        <f t="shared" ref="C2047:C2054" si="54">HYPERLINK("https://ois.dk/map/5444567/sfe", "Link")</f>
        <v>Link</v>
      </c>
      <c r="D2047" t="s">
        <v>3008</v>
      </c>
      <c r="E2047" s="17">
        <v>0.55000000000000071</v>
      </c>
      <c r="F2047" t="s">
        <v>3009</v>
      </c>
      <c r="H2047">
        <v>0.25</v>
      </c>
      <c r="J2047">
        <v>0.3</v>
      </c>
      <c r="Q2047" s="1"/>
      <c r="R2047" s="1">
        <v>1.8</v>
      </c>
      <c r="S2047">
        <v>1.68</v>
      </c>
    </row>
    <row r="2048" spans="1:19" ht="15.75" customHeight="1" x14ac:dyDescent="0.25">
      <c r="A2048" s="2">
        <v>5444567</v>
      </c>
      <c r="B2048">
        <v>5444567</v>
      </c>
      <c r="C2048" t="str">
        <f t="shared" si="54"/>
        <v>Link</v>
      </c>
      <c r="D2048" t="s">
        <v>3008</v>
      </c>
      <c r="E2048" s="17">
        <v>1.5</v>
      </c>
      <c r="F2048" t="s">
        <v>3010</v>
      </c>
      <c r="G2048">
        <v>0.5</v>
      </c>
      <c r="I2048">
        <v>1</v>
      </c>
      <c r="Q2048" s="1"/>
      <c r="R2048" s="1">
        <v>1.8</v>
      </c>
      <c r="S2048">
        <v>1.68</v>
      </c>
    </row>
    <row r="2049" spans="1:19" ht="15.75" customHeight="1" x14ac:dyDescent="0.25">
      <c r="A2049" s="2">
        <v>5444567</v>
      </c>
      <c r="B2049">
        <v>5444567</v>
      </c>
      <c r="C2049" t="str">
        <f t="shared" si="54"/>
        <v>Link</v>
      </c>
      <c r="D2049" t="s">
        <v>3008</v>
      </c>
      <c r="E2049" s="17">
        <v>1.5</v>
      </c>
      <c r="F2049" t="s">
        <v>3011</v>
      </c>
      <c r="G2049">
        <v>0.5</v>
      </c>
      <c r="I2049">
        <v>1</v>
      </c>
      <c r="Q2049" s="1"/>
      <c r="R2049" s="1">
        <v>1.8</v>
      </c>
      <c r="S2049">
        <v>1.68</v>
      </c>
    </row>
    <row r="2050" spans="1:19" ht="15.75" customHeight="1" x14ac:dyDescent="0.25">
      <c r="A2050" s="2">
        <v>5444567</v>
      </c>
      <c r="B2050">
        <v>5444567</v>
      </c>
      <c r="C2050" t="str">
        <f t="shared" si="54"/>
        <v>Link</v>
      </c>
      <c r="D2050" t="s">
        <v>3008</v>
      </c>
      <c r="E2050" s="17">
        <v>1.5</v>
      </c>
      <c r="F2050" t="s">
        <v>3012</v>
      </c>
      <c r="G2050">
        <v>0.5</v>
      </c>
      <c r="I2050">
        <v>1</v>
      </c>
      <c r="Q2050" s="1"/>
      <c r="R2050" s="1">
        <v>1.8</v>
      </c>
      <c r="S2050">
        <v>1.68</v>
      </c>
    </row>
    <row r="2051" spans="1:19" ht="15.75" customHeight="1" x14ac:dyDescent="0.25">
      <c r="A2051" s="2">
        <v>5444567</v>
      </c>
      <c r="B2051">
        <v>5444567</v>
      </c>
      <c r="C2051" t="str">
        <f t="shared" si="54"/>
        <v>Link</v>
      </c>
      <c r="D2051" t="s">
        <v>3008</v>
      </c>
      <c r="E2051" s="17">
        <v>1.5</v>
      </c>
      <c r="F2051" t="s">
        <v>3009</v>
      </c>
      <c r="G2051">
        <v>0.5</v>
      </c>
      <c r="I2051">
        <v>1</v>
      </c>
      <c r="Q2051" s="1"/>
      <c r="R2051" s="1">
        <v>1.8</v>
      </c>
      <c r="S2051">
        <v>1.68</v>
      </c>
    </row>
    <row r="2052" spans="1:19" ht="15.75" customHeight="1" x14ac:dyDescent="0.25">
      <c r="A2052" s="2">
        <v>5444567</v>
      </c>
      <c r="B2052">
        <v>5444567</v>
      </c>
      <c r="C2052" t="str">
        <f t="shared" si="54"/>
        <v>Link</v>
      </c>
      <c r="D2052" t="s">
        <v>3008</v>
      </c>
      <c r="E2052" s="17">
        <v>1.5</v>
      </c>
      <c r="F2052" t="s">
        <v>3013</v>
      </c>
      <c r="G2052">
        <v>0.5</v>
      </c>
      <c r="I2052">
        <v>1</v>
      </c>
      <c r="Q2052" s="1"/>
      <c r="R2052" s="1">
        <v>1.8</v>
      </c>
      <c r="S2052">
        <v>1.68</v>
      </c>
    </row>
    <row r="2053" spans="1:19" ht="15.75" customHeight="1" x14ac:dyDescent="0.25">
      <c r="A2053" s="2">
        <v>5444567</v>
      </c>
      <c r="B2053">
        <v>5444567</v>
      </c>
      <c r="C2053" t="str">
        <f t="shared" si="54"/>
        <v>Link</v>
      </c>
      <c r="D2053" t="s">
        <v>3008</v>
      </c>
      <c r="E2053" s="17">
        <v>1.5</v>
      </c>
      <c r="F2053" t="s">
        <v>3014</v>
      </c>
      <c r="G2053">
        <v>0.5</v>
      </c>
      <c r="I2053">
        <v>1</v>
      </c>
      <c r="Q2053" s="1"/>
      <c r="R2053" s="1">
        <v>1.8</v>
      </c>
      <c r="S2053">
        <v>1.68</v>
      </c>
    </row>
    <row r="2054" spans="1:19" ht="15.75" customHeight="1" x14ac:dyDescent="0.25">
      <c r="A2054" s="2">
        <v>5444567</v>
      </c>
      <c r="B2054">
        <v>5444567</v>
      </c>
      <c r="C2054" t="str">
        <f t="shared" si="54"/>
        <v>Link</v>
      </c>
      <c r="D2054" t="s">
        <v>3008</v>
      </c>
      <c r="E2054" s="17">
        <v>1.5</v>
      </c>
      <c r="F2054" t="s">
        <v>3015</v>
      </c>
      <c r="G2054">
        <v>0.5</v>
      </c>
      <c r="I2054">
        <v>1</v>
      </c>
      <c r="Q2054" s="1"/>
      <c r="R2054" s="1">
        <v>1.8</v>
      </c>
      <c r="S2054">
        <v>1.68</v>
      </c>
    </row>
    <row r="2055" spans="1:19" ht="15.75" customHeight="1" x14ac:dyDescent="0.25">
      <c r="A2055" s="2">
        <v>5444568</v>
      </c>
      <c r="B2055">
        <v>5444568</v>
      </c>
      <c r="C2055" t="str">
        <f>HYPERLINK("https://ois.dk/map/5444568/sfe", "Link")</f>
        <v>Link</v>
      </c>
      <c r="D2055" t="s">
        <v>3016</v>
      </c>
      <c r="E2055" s="17">
        <v>0.5</v>
      </c>
      <c r="F2055" t="s">
        <v>3017</v>
      </c>
      <c r="G2055">
        <v>0.5</v>
      </c>
      <c r="Q2055" s="1"/>
      <c r="R2055" s="1"/>
    </row>
    <row r="2056" spans="1:19" ht="15.75" customHeight="1" x14ac:dyDescent="0.25">
      <c r="A2056" s="2">
        <v>5444569</v>
      </c>
      <c r="B2056">
        <v>5444569</v>
      </c>
      <c r="C2056" t="str">
        <f>HYPERLINK("https://ois.dk/map/5444569/sfe", "Link")</f>
        <v>Link</v>
      </c>
      <c r="D2056" t="s">
        <v>3018</v>
      </c>
      <c r="E2056" s="17">
        <v>0.5</v>
      </c>
      <c r="F2056" t="s">
        <v>3019</v>
      </c>
      <c r="G2056">
        <v>0.5</v>
      </c>
      <c r="Q2056" s="1"/>
      <c r="R2056" s="1"/>
    </row>
    <row r="2057" spans="1:19" ht="15.75" customHeight="1" x14ac:dyDescent="0.25">
      <c r="A2057" s="2">
        <v>5444569</v>
      </c>
      <c r="B2057">
        <v>5444569</v>
      </c>
      <c r="C2057" t="str">
        <f>HYPERLINK("https://ois.dk/map/5444569/sfe", "Link")</f>
        <v>Link</v>
      </c>
      <c r="D2057" t="s">
        <v>3018</v>
      </c>
      <c r="E2057" s="17">
        <v>0.5</v>
      </c>
      <c r="F2057" t="s">
        <v>3020</v>
      </c>
      <c r="G2057">
        <v>0.5</v>
      </c>
      <c r="Q2057" s="1"/>
      <c r="R2057" s="1"/>
    </row>
    <row r="2058" spans="1:19" ht="15.75" customHeight="1" x14ac:dyDescent="0.25">
      <c r="A2058" s="2">
        <v>5444569</v>
      </c>
      <c r="B2058">
        <v>5444569</v>
      </c>
      <c r="C2058" t="str">
        <f>HYPERLINK("https://ois.dk/map/5444569/sfe", "Link")</f>
        <v>Link</v>
      </c>
      <c r="D2058" t="s">
        <v>3018</v>
      </c>
      <c r="E2058" s="17">
        <v>0.5</v>
      </c>
      <c r="F2058" t="s">
        <v>3021</v>
      </c>
      <c r="G2058">
        <v>0.5</v>
      </c>
      <c r="Q2058" s="1"/>
      <c r="R2058" s="1"/>
    </row>
    <row r="2059" spans="1:19" ht="15.75" customHeight="1" x14ac:dyDescent="0.25">
      <c r="A2059" s="2">
        <v>5444570</v>
      </c>
      <c r="B2059">
        <v>5444570</v>
      </c>
      <c r="C2059" t="str">
        <f>HYPERLINK("https://ois.dk/map/5444570/sfe", "Link")</f>
        <v>Link</v>
      </c>
      <c r="D2059" t="s">
        <v>3022</v>
      </c>
      <c r="E2059" s="17">
        <v>0.5</v>
      </c>
      <c r="F2059" t="s">
        <v>3023</v>
      </c>
      <c r="G2059">
        <v>0.5</v>
      </c>
      <c r="Q2059" s="1"/>
      <c r="R2059" s="1"/>
    </row>
    <row r="2060" spans="1:19" ht="15.75" customHeight="1" x14ac:dyDescent="0.25">
      <c r="A2060" s="2">
        <v>5444575</v>
      </c>
      <c r="B2060">
        <v>5444575</v>
      </c>
      <c r="C2060" t="str">
        <f>HYPERLINK("https://ois.dk/map/5444575/sfe", "Link")</f>
        <v>Link</v>
      </c>
      <c r="D2060" t="s">
        <v>3024</v>
      </c>
      <c r="E2060" s="17">
        <v>0.75</v>
      </c>
      <c r="F2060" t="s">
        <v>3025</v>
      </c>
      <c r="G2060">
        <v>0.5</v>
      </c>
      <c r="H2060">
        <v>0.25</v>
      </c>
      <c r="Q2060" s="1"/>
      <c r="R2060" s="1"/>
    </row>
    <row r="2061" spans="1:19" ht="15.75" customHeight="1" x14ac:dyDescent="0.25">
      <c r="A2061" s="2">
        <v>5444576</v>
      </c>
      <c r="B2061">
        <v>5444576</v>
      </c>
      <c r="C2061" t="str">
        <f>HYPERLINK("https://ois.dk/map/5444576/sfe", "Link")</f>
        <v>Link</v>
      </c>
      <c r="D2061" t="s">
        <v>3026</v>
      </c>
      <c r="E2061" s="17">
        <v>0.5</v>
      </c>
      <c r="F2061" t="s">
        <v>3027</v>
      </c>
      <c r="G2061">
        <v>0.5</v>
      </c>
      <c r="Q2061" s="1"/>
      <c r="R2061" s="1"/>
    </row>
    <row r="2062" spans="1:19" ht="15.75" customHeight="1" x14ac:dyDescent="0.25">
      <c r="A2062" s="2">
        <v>5444578</v>
      </c>
      <c r="B2062">
        <v>5444578</v>
      </c>
      <c r="C2062" t="str">
        <f>HYPERLINK("https://ois.dk/map/5444578/sfe", "Link")</f>
        <v>Link</v>
      </c>
      <c r="D2062" t="s">
        <v>3028</v>
      </c>
      <c r="E2062" s="17">
        <v>1.05</v>
      </c>
      <c r="F2062" t="s">
        <v>3029</v>
      </c>
      <c r="G2062">
        <v>0.5</v>
      </c>
      <c r="H2062">
        <v>0.25</v>
      </c>
      <c r="J2062">
        <v>0.3</v>
      </c>
      <c r="Q2062" s="1"/>
      <c r="R2062" s="1"/>
      <c r="S2062">
        <v>1.48</v>
      </c>
    </row>
    <row r="2063" spans="1:19" ht="15.75" customHeight="1" x14ac:dyDescent="0.25">
      <c r="A2063" s="2">
        <v>5444579</v>
      </c>
      <c r="B2063">
        <v>5444579</v>
      </c>
      <c r="C2063" t="str">
        <f>HYPERLINK("https://ois.dk/map/5444579/sfe", "Link")</f>
        <v>Link</v>
      </c>
      <c r="D2063" t="s">
        <v>3030</v>
      </c>
      <c r="E2063" s="17">
        <v>0.5</v>
      </c>
      <c r="F2063" t="s">
        <v>3031</v>
      </c>
      <c r="G2063">
        <v>0.5</v>
      </c>
      <c r="Q2063" s="1"/>
      <c r="R2063" s="1"/>
    </row>
    <row r="2064" spans="1:19" ht="15.75" customHeight="1" x14ac:dyDescent="0.25">
      <c r="A2064" s="2">
        <v>5444580</v>
      </c>
      <c r="B2064">
        <v>5444580</v>
      </c>
      <c r="C2064" t="str">
        <f>HYPERLINK("https://ois.dk/map/5444580/sfe", "Link")</f>
        <v>Link</v>
      </c>
      <c r="D2064" t="s">
        <v>3032</v>
      </c>
      <c r="E2064" s="17">
        <v>0.75</v>
      </c>
      <c r="G2064">
        <v>0.5</v>
      </c>
      <c r="H2064">
        <v>0.25</v>
      </c>
      <c r="Q2064" s="1"/>
      <c r="R2064" s="1"/>
    </row>
    <row r="2065" spans="1:18" ht="15.75" customHeight="1" x14ac:dyDescent="0.25">
      <c r="A2065" s="2">
        <v>5444581</v>
      </c>
      <c r="B2065">
        <v>5444581</v>
      </c>
      <c r="C2065" t="str">
        <f>HYPERLINK("https://ois.dk/map/5444581/sfe", "Link")</f>
        <v>Link</v>
      </c>
      <c r="D2065" t="s">
        <v>3033</v>
      </c>
      <c r="E2065" s="17">
        <v>0.75</v>
      </c>
      <c r="F2065" t="s">
        <v>3034</v>
      </c>
      <c r="G2065">
        <v>0.5</v>
      </c>
      <c r="H2065">
        <v>0.25</v>
      </c>
      <c r="Q2065" s="1"/>
      <c r="R2065" s="1"/>
    </row>
    <row r="2066" spans="1:18" ht="15.75" customHeight="1" x14ac:dyDescent="0.25">
      <c r="A2066" s="2">
        <v>5444582</v>
      </c>
      <c r="B2066">
        <v>5444582</v>
      </c>
      <c r="C2066" t="str">
        <f>HYPERLINK("https://ois.dk/map/5444582/sfe", "Link")</f>
        <v>Link</v>
      </c>
      <c r="D2066" t="s">
        <v>3035</v>
      </c>
      <c r="E2066" s="17">
        <v>1.75</v>
      </c>
      <c r="F2066" t="s">
        <v>3036</v>
      </c>
      <c r="G2066">
        <v>0.5</v>
      </c>
      <c r="H2066">
        <v>0.25</v>
      </c>
      <c r="I2066">
        <v>1</v>
      </c>
      <c r="Q2066" s="1"/>
      <c r="R2066" s="1">
        <v>1.84</v>
      </c>
    </row>
    <row r="2067" spans="1:18" ht="15.75" customHeight="1" x14ac:dyDescent="0.25">
      <c r="A2067" s="2">
        <v>5444584</v>
      </c>
      <c r="B2067">
        <v>5444584</v>
      </c>
      <c r="C2067" t="str">
        <f>HYPERLINK("https://ois.dk/map/5444584/sfe", "Link")</f>
        <v>Link</v>
      </c>
      <c r="D2067" t="s">
        <v>3037</v>
      </c>
      <c r="E2067" s="17">
        <v>0.75</v>
      </c>
      <c r="G2067">
        <v>0.5</v>
      </c>
      <c r="H2067">
        <v>0.25</v>
      </c>
      <c r="Q2067" s="1"/>
      <c r="R2067" s="1"/>
    </row>
    <row r="2068" spans="1:18" ht="15.75" customHeight="1" x14ac:dyDescent="0.25">
      <c r="A2068" s="2">
        <v>5444585</v>
      </c>
      <c r="B2068">
        <v>5444585</v>
      </c>
      <c r="C2068" t="str">
        <f>HYPERLINK("https://ois.dk/map/5444585/sfe", "Link")</f>
        <v>Link</v>
      </c>
      <c r="D2068" t="s">
        <v>3038</v>
      </c>
      <c r="E2068" s="17">
        <v>0.25</v>
      </c>
      <c r="F2068" t="s">
        <v>3039</v>
      </c>
      <c r="H2068">
        <v>0.25</v>
      </c>
      <c r="Q2068" s="1"/>
      <c r="R2068" s="1">
        <v>1.46</v>
      </c>
    </row>
    <row r="2069" spans="1:18" ht="15.75" customHeight="1" x14ac:dyDescent="0.25">
      <c r="A2069" s="2">
        <v>5444585</v>
      </c>
      <c r="B2069">
        <v>5444585</v>
      </c>
      <c r="C2069" t="str">
        <f>HYPERLINK("https://ois.dk/map/5444585/sfe", "Link")</f>
        <v>Link</v>
      </c>
      <c r="D2069" t="s">
        <v>3038</v>
      </c>
      <c r="E2069" s="17">
        <v>1.5</v>
      </c>
      <c r="F2069" t="s">
        <v>3039</v>
      </c>
      <c r="G2069">
        <v>0.5</v>
      </c>
      <c r="I2069">
        <v>1</v>
      </c>
      <c r="Q2069" s="1"/>
      <c r="R2069" s="1">
        <v>1.46</v>
      </c>
    </row>
    <row r="2070" spans="1:18" ht="15.75" customHeight="1" x14ac:dyDescent="0.25">
      <c r="A2070" s="2">
        <v>5444585</v>
      </c>
      <c r="B2070">
        <v>5444585</v>
      </c>
      <c r="C2070" t="str">
        <f>HYPERLINK("https://ois.dk/map/5444585/sfe", "Link")</f>
        <v>Link</v>
      </c>
      <c r="D2070" t="s">
        <v>3038</v>
      </c>
      <c r="E2070" s="17">
        <v>1.5</v>
      </c>
      <c r="F2070" t="s">
        <v>3040</v>
      </c>
      <c r="G2070">
        <v>0.5</v>
      </c>
      <c r="I2070">
        <v>1</v>
      </c>
      <c r="Q2070" s="1"/>
      <c r="R2070" s="1">
        <v>1.46</v>
      </c>
    </row>
    <row r="2071" spans="1:18" ht="15.75" customHeight="1" x14ac:dyDescent="0.25">
      <c r="A2071" s="2">
        <v>5444586</v>
      </c>
      <c r="B2071">
        <v>5444586</v>
      </c>
      <c r="C2071" t="str">
        <f>HYPERLINK("https://ois.dk/map/5444586/sfe", "Link")</f>
        <v>Link</v>
      </c>
      <c r="D2071" t="s">
        <v>3041</v>
      </c>
      <c r="E2071" s="17">
        <v>0.75</v>
      </c>
      <c r="F2071" t="s">
        <v>3042</v>
      </c>
      <c r="G2071">
        <v>0.5</v>
      </c>
      <c r="H2071">
        <v>0.25</v>
      </c>
      <c r="Q2071" s="1"/>
      <c r="R2071" s="1"/>
    </row>
    <row r="2072" spans="1:18" ht="15.75" customHeight="1" x14ac:dyDescent="0.25">
      <c r="A2072" s="2">
        <v>5444595</v>
      </c>
      <c r="B2072">
        <v>5444595</v>
      </c>
      <c r="C2072" t="str">
        <f>HYPERLINK("https://ois.dk/map/5444595/sfe", "Link")</f>
        <v>Link</v>
      </c>
      <c r="D2072" t="s">
        <v>3043</v>
      </c>
      <c r="E2072" s="17">
        <v>0.25</v>
      </c>
      <c r="F2072" t="s">
        <v>3044</v>
      </c>
      <c r="H2072">
        <v>0.25</v>
      </c>
      <c r="Q2072" s="1"/>
      <c r="R2072" s="1">
        <v>0.67</v>
      </c>
    </row>
    <row r="2073" spans="1:18" ht="15.75" customHeight="1" x14ac:dyDescent="0.25">
      <c r="A2073" s="2">
        <v>5444595</v>
      </c>
      <c r="B2073">
        <v>5444595</v>
      </c>
      <c r="C2073" t="str">
        <f>HYPERLINK("https://ois.dk/map/5444595/sfe", "Link")</f>
        <v>Link</v>
      </c>
      <c r="D2073" t="s">
        <v>3043</v>
      </c>
      <c r="E2073" s="17">
        <v>1.5</v>
      </c>
      <c r="F2073" t="s">
        <v>3044</v>
      </c>
      <c r="G2073">
        <v>0.5</v>
      </c>
      <c r="I2073">
        <v>1</v>
      </c>
      <c r="Q2073" s="1"/>
      <c r="R2073" s="1">
        <v>1.0900000000000001</v>
      </c>
    </row>
    <row r="2074" spans="1:18" ht="15.75" customHeight="1" x14ac:dyDescent="0.25">
      <c r="A2074" s="2">
        <v>5444595</v>
      </c>
      <c r="B2074">
        <v>5444595</v>
      </c>
      <c r="C2074" t="str">
        <f>HYPERLINK("https://ois.dk/map/5444595/sfe", "Link")</f>
        <v>Link</v>
      </c>
      <c r="D2074" t="s">
        <v>3043</v>
      </c>
      <c r="E2074" s="17">
        <v>1.5</v>
      </c>
      <c r="F2074" t="s">
        <v>3044</v>
      </c>
      <c r="G2074">
        <v>0.5</v>
      </c>
      <c r="I2074">
        <v>1</v>
      </c>
      <c r="Q2074" s="1"/>
      <c r="R2074" s="1">
        <v>0.67</v>
      </c>
    </row>
    <row r="2075" spans="1:18" ht="15.75" customHeight="1" x14ac:dyDescent="0.25">
      <c r="A2075" s="2">
        <v>5444595</v>
      </c>
      <c r="B2075">
        <v>5444595</v>
      </c>
      <c r="C2075" t="str">
        <f>HYPERLINK("https://ois.dk/map/5444595/sfe", "Link")</f>
        <v>Link</v>
      </c>
      <c r="D2075" t="s">
        <v>3043</v>
      </c>
      <c r="E2075" s="17">
        <v>1.5</v>
      </c>
      <c r="F2075" t="s">
        <v>3044</v>
      </c>
      <c r="G2075">
        <v>0.5</v>
      </c>
      <c r="I2075">
        <v>1</v>
      </c>
      <c r="Q2075" s="1"/>
      <c r="R2075" s="1">
        <v>1.03</v>
      </c>
    </row>
    <row r="2076" spans="1:18" ht="15.75" customHeight="1" x14ac:dyDescent="0.25">
      <c r="A2076" s="2">
        <v>5444599</v>
      </c>
      <c r="B2076">
        <v>5444599</v>
      </c>
      <c r="C2076" t="str">
        <f>HYPERLINK("https://ois.dk/map/5444599/sfe", "Link")</f>
        <v>Link</v>
      </c>
      <c r="D2076" t="s">
        <v>3045</v>
      </c>
      <c r="E2076" s="17">
        <v>1.75</v>
      </c>
      <c r="F2076" t="s">
        <v>3046</v>
      </c>
      <c r="G2076">
        <v>0.5</v>
      </c>
      <c r="H2076">
        <v>0.25</v>
      </c>
      <c r="I2076">
        <v>1</v>
      </c>
      <c r="Q2076" s="1"/>
      <c r="R2076" s="1">
        <v>2.0499999999999998</v>
      </c>
    </row>
    <row r="2077" spans="1:18" ht="15.75" customHeight="1" x14ac:dyDescent="0.25">
      <c r="A2077" s="2">
        <v>5444600</v>
      </c>
      <c r="B2077">
        <v>5444600</v>
      </c>
      <c r="C2077" t="str">
        <f>HYPERLINK("https://ois.dk/map/5444600/sfe", "Link")</f>
        <v>Link</v>
      </c>
      <c r="D2077" t="s">
        <v>3047</v>
      </c>
      <c r="E2077" s="17">
        <v>0.75</v>
      </c>
      <c r="F2077" t="s">
        <v>3048</v>
      </c>
      <c r="G2077">
        <v>0.5</v>
      </c>
      <c r="H2077">
        <v>0.25</v>
      </c>
      <c r="Q2077" s="1"/>
      <c r="R2077" s="1"/>
    </row>
    <row r="2078" spans="1:18" ht="15.75" customHeight="1" x14ac:dyDescent="0.25">
      <c r="A2078" s="2">
        <v>5444603</v>
      </c>
      <c r="B2078">
        <v>5444603</v>
      </c>
      <c r="C2078" t="str">
        <f>HYPERLINK("https://ois.dk/map/5444603/sfe", "Link")</f>
        <v>Link</v>
      </c>
      <c r="D2078" t="s">
        <v>3049</v>
      </c>
      <c r="E2078" s="17">
        <v>1.75</v>
      </c>
      <c r="F2078" t="s">
        <v>3050</v>
      </c>
      <c r="G2078">
        <v>0.5</v>
      </c>
      <c r="H2078">
        <v>0.25</v>
      </c>
      <c r="I2078">
        <v>1</v>
      </c>
      <c r="Q2078" s="1"/>
      <c r="R2078" s="1">
        <v>1.9</v>
      </c>
    </row>
    <row r="2079" spans="1:18" ht="15.75" customHeight="1" x14ac:dyDescent="0.25">
      <c r="A2079" s="2">
        <v>5444604</v>
      </c>
      <c r="B2079">
        <v>5444604</v>
      </c>
      <c r="C2079" t="str">
        <f>HYPERLINK("https://ois.dk/map/5444604/sfe", "Link")</f>
        <v>Link</v>
      </c>
      <c r="D2079" t="s">
        <v>3051</v>
      </c>
      <c r="E2079" s="17">
        <v>1.75</v>
      </c>
      <c r="F2079" t="s">
        <v>3052</v>
      </c>
      <c r="G2079">
        <v>0.5</v>
      </c>
      <c r="H2079">
        <v>0.25</v>
      </c>
      <c r="I2079">
        <v>1</v>
      </c>
      <c r="Q2079" s="1"/>
      <c r="R2079" s="1">
        <v>2.11</v>
      </c>
    </row>
    <row r="2080" spans="1:18" ht="15.75" customHeight="1" x14ac:dyDescent="0.25">
      <c r="A2080" s="2">
        <v>5444605</v>
      </c>
      <c r="B2080">
        <v>5444605</v>
      </c>
      <c r="C2080" t="str">
        <f>HYPERLINK("https://ois.dk/map/5444605/sfe", "Link")</f>
        <v>Link</v>
      </c>
      <c r="D2080" t="s">
        <v>3053</v>
      </c>
      <c r="E2080" s="17">
        <v>0.75</v>
      </c>
      <c r="F2080" t="s">
        <v>3054</v>
      </c>
      <c r="G2080">
        <v>0.5</v>
      </c>
      <c r="H2080">
        <v>0.25</v>
      </c>
      <c r="Q2080" s="1"/>
      <c r="R2080" s="1"/>
    </row>
    <row r="2081" spans="1:18" ht="15.75" customHeight="1" x14ac:dyDescent="0.25">
      <c r="A2081" s="2">
        <v>5444606</v>
      </c>
      <c r="B2081">
        <v>5444606</v>
      </c>
      <c r="C2081" t="str">
        <f>HYPERLINK("https://ois.dk/map/5444606/sfe", "Link")</f>
        <v>Link</v>
      </c>
      <c r="D2081" t="s">
        <v>3055</v>
      </c>
      <c r="E2081" s="17">
        <v>0.5</v>
      </c>
      <c r="F2081" t="s">
        <v>3056</v>
      </c>
      <c r="G2081">
        <v>0.5</v>
      </c>
      <c r="Q2081" s="1"/>
      <c r="R2081" s="1"/>
    </row>
    <row r="2082" spans="1:18" ht="15.75" customHeight="1" x14ac:dyDescent="0.25">
      <c r="A2082" s="2">
        <v>5444607</v>
      </c>
      <c r="B2082">
        <v>5444607</v>
      </c>
      <c r="C2082" t="str">
        <f>HYPERLINK("https://ois.dk/map/5444607/sfe", "Link")</f>
        <v>Link</v>
      </c>
      <c r="D2082" t="s">
        <v>3057</v>
      </c>
      <c r="E2082" s="17">
        <v>0.5</v>
      </c>
      <c r="F2082" t="s">
        <v>3058</v>
      </c>
      <c r="G2082">
        <v>0.5</v>
      </c>
      <c r="Q2082" s="1"/>
      <c r="R2082" s="1"/>
    </row>
    <row r="2083" spans="1:18" ht="15.75" customHeight="1" x14ac:dyDescent="0.25">
      <c r="A2083" s="2">
        <v>5444608</v>
      </c>
      <c r="B2083">
        <v>5444608</v>
      </c>
      <c r="C2083" t="str">
        <f>HYPERLINK("https://ois.dk/map/5444608/sfe", "Link")</f>
        <v>Link</v>
      </c>
      <c r="D2083" t="s">
        <v>3059</v>
      </c>
      <c r="E2083" s="17">
        <v>0.5</v>
      </c>
      <c r="F2083" t="s">
        <v>3060</v>
      </c>
      <c r="G2083">
        <v>0.5</v>
      </c>
      <c r="Q2083" s="1"/>
      <c r="R2083" s="1"/>
    </row>
    <row r="2084" spans="1:18" ht="15.75" customHeight="1" x14ac:dyDescent="0.25">
      <c r="A2084" s="2">
        <v>5444609</v>
      </c>
      <c r="B2084">
        <v>5444609</v>
      </c>
      <c r="C2084" t="str">
        <f>HYPERLINK("https://ois.dk/map/5444609/sfe", "Link")</f>
        <v>Link</v>
      </c>
      <c r="D2084" t="s">
        <v>3061</v>
      </c>
      <c r="E2084" s="17">
        <v>0.75</v>
      </c>
      <c r="F2084" t="s">
        <v>3062</v>
      </c>
      <c r="G2084">
        <v>0.5</v>
      </c>
      <c r="H2084">
        <v>0.25</v>
      </c>
      <c r="Q2084" s="1"/>
      <c r="R2084" s="1"/>
    </row>
    <row r="2085" spans="1:18" ht="15.75" customHeight="1" x14ac:dyDescent="0.25">
      <c r="A2085" s="2">
        <v>5444610</v>
      </c>
      <c r="B2085">
        <v>5444610</v>
      </c>
      <c r="C2085" t="str">
        <f>HYPERLINK("https://ois.dk/map/5444610/sfe", "Link")</f>
        <v>Link</v>
      </c>
      <c r="D2085" t="s">
        <v>3063</v>
      </c>
      <c r="E2085" s="17">
        <v>1.75</v>
      </c>
      <c r="F2085" t="s">
        <v>3064</v>
      </c>
      <c r="G2085">
        <v>0.5</v>
      </c>
      <c r="H2085">
        <v>0.25</v>
      </c>
      <c r="I2085">
        <v>1</v>
      </c>
      <c r="Q2085" s="1"/>
      <c r="R2085" s="1">
        <v>2.14</v>
      </c>
    </row>
    <row r="2086" spans="1:18" ht="15.75" customHeight="1" x14ac:dyDescent="0.25">
      <c r="A2086" s="2">
        <v>5444611</v>
      </c>
      <c r="B2086">
        <v>5444611</v>
      </c>
      <c r="C2086" t="str">
        <f>HYPERLINK("https://ois.dk/map/5444611/sfe", "Link")</f>
        <v>Link</v>
      </c>
      <c r="D2086" t="s">
        <v>3065</v>
      </c>
      <c r="E2086" s="17">
        <v>0.75</v>
      </c>
      <c r="F2086" t="s">
        <v>3066</v>
      </c>
      <c r="G2086">
        <v>0.5</v>
      </c>
      <c r="H2086">
        <v>0.25</v>
      </c>
      <c r="Q2086" s="1"/>
      <c r="R2086" s="1"/>
    </row>
    <row r="2087" spans="1:18" ht="15.75" customHeight="1" x14ac:dyDescent="0.25">
      <c r="A2087" s="2">
        <v>5444612</v>
      </c>
      <c r="B2087">
        <v>5444612</v>
      </c>
      <c r="C2087" t="str">
        <f>HYPERLINK("https://ois.dk/map/5444612/sfe", "Link")</f>
        <v>Link</v>
      </c>
      <c r="D2087" t="s">
        <v>3067</v>
      </c>
      <c r="E2087" s="17">
        <v>1.75</v>
      </c>
      <c r="F2087" t="s">
        <v>3068</v>
      </c>
      <c r="G2087">
        <v>0.5</v>
      </c>
      <c r="H2087">
        <v>0.25</v>
      </c>
      <c r="I2087">
        <v>1</v>
      </c>
      <c r="Q2087" s="1"/>
      <c r="R2087" s="1">
        <v>2.11</v>
      </c>
    </row>
    <row r="2088" spans="1:18" ht="15.75" customHeight="1" x14ac:dyDescent="0.25">
      <c r="A2088" s="2">
        <v>5444613</v>
      </c>
      <c r="B2088">
        <v>5444613</v>
      </c>
      <c r="C2088" t="str">
        <f>HYPERLINK("https://ois.dk/map/5444613/sfe", "Link")</f>
        <v>Link</v>
      </c>
      <c r="D2088" t="s">
        <v>3069</v>
      </c>
      <c r="E2088" s="17">
        <v>1.75</v>
      </c>
      <c r="F2088" t="s">
        <v>3070</v>
      </c>
      <c r="G2088">
        <v>0.5</v>
      </c>
      <c r="H2088">
        <v>0.25</v>
      </c>
      <c r="I2088">
        <v>1</v>
      </c>
      <c r="Q2088" s="1"/>
      <c r="R2088" s="1">
        <v>2.04</v>
      </c>
    </row>
    <row r="2089" spans="1:18" ht="15.75" customHeight="1" x14ac:dyDescent="0.25">
      <c r="A2089" s="2">
        <v>5444614</v>
      </c>
      <c r="B2089">
        <v>5444614</v>
      </c>
      <c r="C2089" t="str">
        <f>HYPERLINK("https://ois.dk/map/5444614/sfe", "Link")</f>
        <v>Link</v>
      </c>
      <c r="D2089" t="s">
        <v>3071</v>
      </c>
      <c r="E2089" s="17">
        <v>1.75</v>
      </c>
      <c r="F2089" t="s">
        <v>3072</v>
      </c>
      <c r="G2089">
        <v>0.5</v>
      </c>
      <c r="H2089">
        <v>0.25</v>
      </c>
      <c r="I2089">
        <v>1</v>
      </c>
      <c r="Q2089" s="1"/>
      <c r="R2089" s="1">
        <v>2.08</v>
      </c>
    </row>
    <row r="2090" spans="1:18" ht="15.75" customHeight="1" x14ac:dyDescent="0.25">
      <c r="A2090" s="2">
        <v>5444615</v>
      </c>
      <c r="B2090">
        <v>5444615</v>
      </c>
      <c r="C2090" t="str">
        <f>HYPERLINK("https://ois.dk/map/5444615/sfe", "Link")</f>
        <v>Link</v>
      </c>
      <c r="D2090" t="s">
        <v>3073</v>
      </c>
      <c r="E2090" s="17">
        <v>0.5</v>
      </c>
      <c r="F2090" t="s">
        <v>3074</v>
      </c>
      <c r="G2090">
        <v>0.5</v>
      </c>
      <c r="Q2090" s="1"/>
      <c r="R2090" s="1"/>
    </row>
    <row r="2091" spans="1:18" ht="15.75" customHeight="1" x14ac:dyDescent="0.25">
      <c r="A2091" s="2">
        <v>5444616</v>
      </c>
      <c r="B2091">
        <v>5444616</v>
      </c>
      <c r="C2091" t="str">
        <f>HYPERLINK("https://ois.dk/map/5444616/sfe", "Link")</f>
        <v>Link</v>
      </c>
      <c r="D2091" t="s">
        <v>3075</v>
      </c>
      <c r="E2091" s="17">
        <v>0.5</v>
      </c>
      <c r="F2091" t="s">
        <v>3076</v>
      </c>
      <c r="G2091">
        <v>0.5</v>
      </c>
      <c r="Q2091" s="1"/>
      <c r="R2091" s="1"/>
    </row>
    <row r="2092" spans="1:18" ht="15.75" customHeight="1" x14ac:dyDescent="0.25">
      <c r="A2092" s="2">
        <v>5444617</v>
      </c>
      <c r="B2092">
        <v>5444617</v>
      </c>
      <c r="C2092" t="str">
        <f>HYPERLINK("https://ois.dk/map/5444617/sfe", "Link")</f>
        <v>Link</v>
      </c>
      <c r="D2092" t="s">
        <v>3077</v>
      </c>
      <c r="E2092" s="17">
        <v>0.5</v>
      </c>
      <c r="F2092" t="s">
        <v>3078</v>
      </c>
      <c r="G2092">
        <v>0.5</v>
      </c>
      <c r="Q2092" s="1"/>
      <c r="R2092" s="1"/>
    </row>
    <row r="2093" spans="1:18" ht="15.75" customHeight="1" x14ac:dyDescent="0.25">
      <c r="A2093" s="2">
        <v>5444618</v>
      </c>
      <c r="B2093">
        <v>5444618</v>
      </c>
      <c r="C2093" t="str">
        <f>HYPERLINK("https://ois.dk/map/5444618/sfe", "Link")</f>
        <v>Link</v>
      </c>
      <c r="D2093" t="s">
        <v>3079</v>
      </c>
      <c r="E2093" s="17">
        <v>0.5</v>
      </c>
      <c r="F2093" t="s">
        <v>3080</v>
      </c>
      <c r="G2093">
        <v>0.5</v>
      </c>
      <c r="Q2093" s="1"/>
      <c r="R2093" s="1"/>
    </row>
    <row r="2094" spans="1:18" ht="15.75" customHeight="1" x14ac:dyDescent="0.25">
      <c r="A2094" s="2">
        <v>5444620</v>
      </c>
      <c r="B2094">
        <v>5444620</v>
      </c>
      <c r="C2094" t="str">
        <f>HYPERLINK("https://ois.dk/map/5444620/sfe", "Link")</f>
        <v>Link</v>
      </c>
      <c r="D2094" t="s">
        <v>3081</v>
      </c>
      <c r="E2094" s="17">
        <v>0.75</v>
      </c>
      <c r="F2094" t="s">
        <v>3082</v>
      </c>
      <c r="G2094">
        <v>0.5</v>
      </c>
      <c r="H2094">
        <v>0.25</v>
      </c>
      <c r="Q2094" s="1"/>
      <c r="R2094" s="1"/>
    </row>
    <row r="2095" spans="1:18" ht="15.75" customHeight="1" x14ac:dyDescent="0.25">
      <c r="A2095" s="2">
        <v>5444621</v>
      </c>
      <c r="B2095">
        <v>5444621</v>
      </c>
      <c r="C2095" t="str">
        <f>HYPERLINK("https://ois.dk/map/5444621/sfe", "Link")</f>
        <v>Link</v>
      </c>
      <c r="D2095" t="s">
        <v>3083</v>
      </c>
      <c r="E2095" s="17">
        <v>0.75</v>
      </c>
      <c r="F2095" t="s">
        <v>3084</v>
      </c>
      <c r="G2095">
        <v>0.5</v>
      </c>
      <c r="H2095">
        <v>0.25</v>
      </c>
      <c r="Q2095" s="1"/>
      <c r="R2095" s="1"/>
    </row>
    <row r="2096" spans="1:18" ht="15.75" customHeight="1" x14ac:dyDescent="0.25">
      <c r="A2096" s="2">
        <v>5444622</v>
      </c>
      <c r="B2096">
        <v>5444622</v>
      </c>
      <c r="C2096" t="str">
        <f>HYPERLINK("https://ois.dk/map/5444622/sfe", "Link")</f>
        <v>Link</v>
      </c>
      <c r="D2096" t="s">
        <v>3085</v>
      </c>
      <c r="E2096" s="17">
        <v>0.75</v>
      </c>
      <c r="F2096" t="s">
        <v>3086</v>
      </c>
      <c r="G2096">
        <v>0.5</v>
      </c>
      <c r="H2096">
        <v>0.25</v>
      </c>
      <c r="Q2096" s="1"/>
      <c r="R2096" s="1"/>
    </row>
    <row r="2097" spans="1:18" ht="15.75" customHeight="1" x14ac:dyDescent="0.25">
      <c r="A2097" s="2">
        <v>5444623</v>
      </c>
      <c r="B2097">
        <v>5444623</v>
      </c>
      <c r="C2097" t="str">
        <f>HYPERLINK("https://ois.dk/map/5444623/sfe", "Link")</f>
        <v>Link</v>
      </c>
      <c r="D2097" t="s">
        <v>3087</v>
      </c>
      <c r="E2097" s="17">
        <v>1.75</v>
      </c>
      <c r="F2097" t="s">
        <v>3088</v>
      </c>
      <c r="G2097">
        <v>0.5</v>
      </c>
      <c r="H2097">
        <v>0.25</v>
      </c>
      <c r="I2097">
        <v>1</v>
      </c>
      <c r="Q2097" s="1"/>
      <c r="R2097" s="1">
        <v>1.71</v>
      </c>
    </row>
    <row r="2098" spans="1:18" ht="15.75" customHeight="1" x14ac:dyDescent="0.25">
      <c r="A2098" s="2">
        <v>5444624</v>
      </c>
      <c r="B2098">
        <v>5444624</v>
      </c>
      <c r="C2098" t="str">
        <f>HYPERLINK("https://ois.dk/map/5444624/sfe", "Link")</f>
        <v>Link</v>
      </c>
      <c r="D2098" t="s">
        <v>3089</v>
      </c>
      <c r="E2098" s="17">
        <v>1.75</v>
      </c>
      <c r="F2098" t="s">
        <v>3090</v>
      </c>
      <c r="G2098">
        <v>0.5</v>
      </c>
      <c r="H2098">
        <v>0.25</v>
      </c>
      <c r="I2098">
        <v>1</v>
      </c>
      <c r="Q2098" s="1"/>
      <c r="R2098" s="1">
        <v>1.78</v>
      </c>
    </row>
    <row r="2099" spans="1:18" ht="15.75" customHeight="1" x14ac:dyDescent="0.25">
      <c r="A2099" s="2">
        <v>5444625</v>
      </c>
      <c r="B2099">
        <v>5444625</v>
      </c>
      <c r="C2099" t="str">
        <f>HYPERLINK("https://ois.dk/map/5444625/sfe", "Link")</f>
        <v>Link</v>
      </c>
      <c r="D2099" t="s">
        <v>3091</v>
      </c>
      <c r="E2099" s="17">
        <v>1.75</v>
      </c>
      <c r="F2099" t="s">
        <v>3092</v>
      </c>
      <c r="G2099">
        <v>0.5</v>
      </c>
      <c r="H2099">
        <v>0.25</v>
      </c>
      <c r="I2099">
        <v>1</v>
      </c>
      <c r="Q2099" s="1"/>
      <c r="R2099" s="1">
        <v>1.77</v>
      </c>
    </row>
    <row r="2100" spans="1:18" ht="15.75" customHeight="1" x14ac:dyDescent="0.25">
      <c r="A2100" s="2">
        <v>5444626</v>
      </c>
      <c r="B2100">
        <v>5444626</v>
      </c>
      <c r="C2100" t="str">
        <f>HYPERLINK("https://ois.dk/map/5444626/sfe", "Link")</f>
        <v>Link</v>
      </c>
      <c r="D2100" t="s">
        <v>3093</v>
      </c>
      <c r="E2100" s="17">
        <v>1.75</v>
      </c>
      <c r="F2100" t="s">
        <v>3094</v>
      </c>
      <c r="G2100">
        <v>0.5</v>
      </c>
      <c r="H2100">
        <v>0.25</v>
      </c>
      <c r="I2100">
        <v>1</v>
      </c>
      <c r="Q2100" s="1"/>
      <c r="R2100" s="1">
        <v>1.7</v>
      </c>
    </row>
    <row r="2101" spans="1:18" ht="15.75" customHeight="1" x14ac:dyDescent="0.25">
      <c r="A2101" s="2">
        <v>5444627</v>
      </c>
      <c r="B2101">
        <v>5444627</v>
      </c>
      <c r="C2101" t="str">
        <f>HYPERLINK("https://ois.dk/map/5444627/sfe", "Link")</f>
        <v>Link</v>
      </c>
      <c r="D2101" t="s">
        <v>3095</v>
      </c>
      <c r="E2101" s="17">
        <v>1.75</v>
      </c>
      <c r="F2101" t="s">
        <v>3096</v>
      </c>
      <c r="G2101">
        <v>0.5</v>
      </c>
      <c r="H2101">
        <v>0.25</v>
      </c>
      <c r="I2101">
        <v>1</v>
      </c>
      <c r="Q2101" s="1"/>
      <c r="R2101" s="1">
        <v>1.76</v>
      </c>
    </row>
    <row r="2102" spans="1:18" ht="15.75" customHeight="1" x14ac:dyDescent="0.25">
      <c r="A2102" s="2">
        <v>5444628</v>
      </c>
      <c r="B2102">
        <v>5444628</v>
      </c>
      <c r="C2102" t="str">
        <f>HYPERLINK("https://ois.dk/map/5444628/sfe", "Link")</f>
        <v>Link</v>
      </c>
      <c r="D2102" t="s">
        <v>3097</v>
      </c>
      <c r="E2102" s="17">
        <v>1.75</v>
      </c>
      <c r="F2102" t="s">
        <v>3098</v>
      </c>
      <c r="G2102">
        <v>0.5</v>
      </c>
      <c r="H2102">
        <v>0.25</v>
      </c>
      <c r="I2102">
        <v>1</v>
      </c>
      <c r="Q2102" s="1"/>
      <c r="R2102" s="1">
        <v>1.89</v>
      </c>
    </row>
    <row r="2103" spans="1:18" ht="15.75" customHeight="1" x14ac:dyDescent="0.25">
      <c r="A2103" s="2">
        <v>5444629</v>
      </c>
      <c r="B2103">
        <v>5444629</v>
      </c>
      <c r="C2103" t="str">
        <f>HYPERLINK("https://ois.dk/map/5444629/sfe", "Link")</f>
        <v>Link</v>
      </c>
      <c r="D2103" t="s">
        <v>3099</v>
      </c>
      <c r="E2103" s="17">
        <v>1.75</v>
      </c>
      <c r="F2103" t="s">
        <v>3100</v>
      </c>
      <c r="G2103">
        <v>0.5</v>
      </c>
      <c r="H2103">
        <v>0.25</v>
      </c>
      <c r="I2103">
        <v>1</v>
      </c>
      <c r="Q2103" s="1"/>
      <c r="R2103" s="1">
        <v>1.63</v>
      </c>
    </row>
    <row r="2104" spans="1:18" ht="15.75" customHeight="1" x14ac:dyDescent="0.25">
      <c r="A2104" s="2">
        <v>5444630</v>
      </c>
      <c r="B2104">
        <v>5444630</v>
      </c>
      <c r="C2104" t="str">
        <f>HYPERLINK("https://ois.dk/map/5444630/sfe", "Link")</f>
        <v>Link</v>
      </c>
      <c r="D2104" t="s">
        <v>3101</v>
      </c>
      <c r="E2104" s="17">
        <v>1.75</v>
      </c>
      <c r="F2104" t="s">
        <v>3102</v>
      </c>
      <c r="G2104">
        <v>0.5</v>
      </c>
      <c r="H2104">
        <v>0.25</v>
      </c>
      <c r="I2104">
        <v>1</v>
      </c>
      <c r="Q2104" s="1"/>
      <c r="R2104" s="1">
        <v>1.98</v>
      </c>
    </row>
    <row r="2105" spans="1:18" ht="15.75" customHeight="1" x14ac:dyDescent="0.25">
      <c r="A2105" s="2">
        <v>5444631</v>
      </c>
      <c r="B2105">
        <v>5444631</v>
      </c>
      <c r="C2105" t="str">
        <f>HYPERLINK("https://ois.dk/map/5444631/sfe", "Link")</f>
        <v>Link</v>
      </c>
      <c r="D2105" t="s">
        <v>3103</v>
      </c>
      <c r="E2105" s="17">
        <v>1.75</v>
      </c>
      <c r="F2105" t="s">
        <v>3104</v>
      </c>
      <c r="G2105">
        <v>0.5</v>
      </c>
      <c r="H2105">
        <v>0.25</v>
      </c>
      <c r="I2105">
        <v>1</v>
      </c>
      <c r="Q2105" s="1"/>
      <c r="R2105" s="1">
        <v>1.92</v>
      </c>
    </row>
    <row r="2106" spans="1:18" ht="15.75" customHeight="1" x14ac:dyDescent="0.25">
      <c r="A2106" s="2">
        <v>5444632</v>
      </c>
      <c r="B2106">
        <v>5444632</v>
      </c>
      <c r="C2106" t="str">
        <f>HYPERLINK("https://ois.dk/map/5444632/sfe", "Link")</f>
        <v>Link</v>
      </c>
      <c r="D2106" t="s">
        <v>3105</v>
      </c>
      <c r="E2106" s="17">
        <v>1.75</v>
      </c>
      <c r="F2106" t="s">
        <v>3106</v>
      </c>
      <c r="G2106">
        <v>0.5</v>
      </c>
      <c r="H2106">
        <v>0.25</v>
      </c>
      <c r="I2106">
        <v>1</v>
      </c>
      <c r="Q2106" s="1"/>
      <c r="R2106" s="1">
        <v>1.88</v>
      </c>
    </row>
    <row r="2107" spans="1:18" ht="15.75" customHeight="1" x14ac:dyDescent="0.25">
      <c r="A2107" s="2">
        <v>5444633</v>
      </c>
      <c r="B2107">
        <v>5444633</v>
      </c>
      <c r="C2107" t="str">
        <f>HYPERLINK("https://ois.dk/map/5444633/sfe", "Link")</f>
        <v>Link</v>
      </c>
      <c r="D2107" t="s">
        <v>3107</v>
      </c>
      <c r="E2107" s="17">
        <v>1.75</v>
      </c>
      <c r="F2107" t="s">
        <v>3108</v>
      </c>
      <c r="G2107">
        <v>0.5</v>
      </c>
      <c r="H2107">
        <v>0.25</v>
      </c>
      <c r="I2107">
        <v>1</v>
      </c>
      <c r="Q2107" s="1"/>
      <c r="R2107" s="1">
        <v>1.86</v>
      </c>
    </row>
    <row r="2108" spans="1:18" ht="15.75" customHeight="1" x14ac:dyDescent="0.25">
      <c r="A2108" s="2">
        <v>5444634</v>
      </c>
      <c r="B2108">
        <v>5444634</v>
      </c>
      <c r="C2108" t="str">
        <f>HYPERLINK("https://ois.dk/map/5444634/sfe", "Link")</f>
        <v>Link</v>
      </c>
      <c r="D2108" t="s">
        <v>3109</v>
      </c>
      <c r="E2108" s="17">
        <v>1.75</v>
      </c>
      <c r="F2108" t="s">
        <v>3110</v>
      </c>
      <c r="G2108">
        <v>0.5</v>
      </c>
      <c r="H2108">
        <v>0.25</v>
      </c>
      <c r="I2108">
        <v>1</v>
      </c>
      <c r="Q2108" s="1"/>
      <c r="R2108" s="1">
        <v>2.16</v>
      </c>
    </row>
    <row r="2109" spans="1:18" ht="15.75" customHeight="1" x14ac:dyDescent="0.25">
      <c r="A2109" s="2">
        <v>5444635</v>
      </c>
      <c r="B2109">
        <v>5444635</v>
      </c>
      <c r="C2109" t="str">
        <f>HYPERLINK("https://ois.dk/map/5444635/sfe", "Link")</f>
        <v>Link</v>
      </c>
      <c r="D2109" t="s">
        <v>3111</v>
      </c>
      <c r="E2109" s="17">
        <v>1.75</v>
      </c>
      <c r="F2109" t="s">
        <v>3112</v>
      </c>
      <c r="G2109">
        <v>0.5</v>
      </c>
      <c r="H2109">
        <v>0.25</v>
      </c>
      <c r="I2109">
        <v>1</v>
      </c>
      <c r="Q2109" s="1"/>
      <c r="R2109" s="1">
        <v>2.02</v>
      </c>
    </row>
    <row r="2110" spans="1:18" ht="15.75" customHeight="1" x14ac:dyDescent="0.25">
      <c r="A2110" s="2">
        <v>5444636</v>
      </c>
      <c r="B2110">
        <v>5444636</v>
      </c>
      <c r="C2110" t="str">
        <f>HYPERLINK("https://ois.dk/map/5444636/sfe", "Link")</f>
        <v>Link</v>
      </c>
      <c r="D2110" t="s">
        <v>3113</v>
      </c>
      <c r="E2110" s="17">
        <v>0.75</v>
      </c>
      <c r="F2110" t="s">
        <v>3114</v>
      </c>
      <c r="G2110">
        <v>0.5</v>
      </c>
      <c r="H2110">
        <v>0.25</v>
      </c>
      <c r="Q2110" s="1"/>
      <c r="R2110" s="1"/>
    </row>
    <row r="2111" spans="1:18" ht="15.75" customHeight="1" x14ac:dyDescent="0.25">
      <c r="A2111" s="2">
        <v>5444637</v>
      </c>
      <c r="B2111">
        <v>5444637</v>
      </c>
      <c r="C2111" t="str">
        <f>HYPERLINK("https://ois.dk/map/5444637/sfe", "Link")</f>
        <v>Link</v>
      </c>
      <c r="D2111" t="s">
        <v>3115</v>
      </c>
      <c r="E2111" s="17">
        <v>0.75</v>
      </c>
      <c r="F2111" t="s">
        <v>3116</v>
      </c>
      <c r="G2111">
        <v>0.5</v>
      </c>
      <c r="H2111">
        <v>0.25</v>
      </c>
      <c r="Q2111" s="1"/>
      <c r="R2111" s="1"/>
    </row>
    <row r="2112" spans="1:18" ht="15.75" customHeight="1" x14ac:dyDescent="0.25">
      <c r="A2112" s="2">
        <v>5444638</v>
      </c>
      <c r="B2112">
        <v>5444638</v>
      </c>
      <c r="C2112" t="str">
        <f>HYPERLINK("https://ois.dk/map/5444638/sfe", "Link")</f>
        <v>Link</v>
      </c>
      <c r="D2112" t="s">
        <v>3117</v>
      </c>
      <c r="E2112" s="17">
        <v>1.75</v>
      </c>
      <c r="F2112" t="s">
        <v>3118</v>
      </c>
      <c r="G2112">
        <v>0.5</v>
      </c>
      <c r="H2112">
        <v>0.25</v>
      </c>
      <c r="I2112">
        <v>1</v>
      </c>
      <c r="Q2112" s="1"/>
      <c r="R2112" s="1">
        <v>2.15</v>
      </c>
    </row>
    <row r="2113" spans="1:18" ht="15.75" customHeight="1" x14ac:dyDescent="0.25">
      <c r="A2113" s="2">
        <v>5444639</v>
      </c>
      <c r="B2113">
        <v>5444639</v>
      </c>
      <c r="C2113" t="str">
        <f>HYPERLINK("https://ois.dk/map/5444639/sfe", "Link")</f>
        <v>Link</v>
      </c>
      <c r="D2113" t="s">
        <v>3119</v>
      </c>
      <c r="E2113" s="17">
        <v>0.75</v>
      </c>
      <c r="F2113" t="s">
        <v>3120</v>
      </c>
      <c r="G2113">
        <v>0.5</v>
      </c>
      <c r="H2113">
        <v>0.25</v>
      </c>
      <c r="Q2113" s="1"/>
      <c r="R2113" s="1"/>
    </row>
    <row r="2114" spans="1:18" ht="15.75" customHeight="1" x14ac:dyDescent="0.25">
      <c r="A2114" s="2">
        <v>5444640</v>
      </c>
      <c r="B2114">
        <v>5444640</v>
      </c>
      <c r="C2114" t="str">
        <f>HYPERLINK("https://ois.dk/map/5444640/sfe", "Link")</f>
        <v>Link</v>
      </c>
      <c r="D2114" t="s">
        <v>3121</v>
      </c>
      <c r="E2114" s="17">
        <v>0.75</v>
      </c>
      <c r="F2114" t="s">
        <v>3122</v>
      </c>
      <c r="G2114">
        <v>0.5</v>
      </c>
      <c r="H2114">
        <v>0.25</v>
      </c>
      <c r="Q2114" s="1"/>
      <c r="R2114" s="1"/>
    </row>
    <row r="2115" spans="1:18" ht="15.75" customHeight="1" x14ac:dyDescent="0.25">
      <c r="A2115" s="2">
        <v>5444641</v>
      </c>
      <c r="B2115">
        <v>5444641</v>
      </c>
      <c r="C2115" t="str">
        <f>HYPERLINK("https://ois.dk/map/5444641/sfe", "Link")</f>
        <v>Link</v>
      </c>
      <c r="D2115" t="s">
        <v>3123</v>
      </c>
      <c r="E2115" s="17">
        <v>0.75</v>
      </c>
      <c r="F2115" t="s">
        <v>3124</v>
      </c>
      <c r="G2115">
        <v>0.5</v>
      </c>
      <c r="H2115">
        <v>0.25</v>
      </c>
      <c r="Q2115" s="1"/>
      <c r="R2115" s="1"/>
    </row>
    <row r="2116" spans="1:18" ht="15.75" customHeight="1" x14ac:dyDescent="0.25">
      <c r="A2116" s="2">
        <v>5444642</v>
      </c>
      <c r="B2116">
        <v>5444642</v>
      </c>
      <c r="C2116" t="str">
        <f>HYPERLINK("https://ois.dk/map/5444642/sfe", "Link")</f>
        <v>Link</v>
      </c>
      <c r="D2116" t="s">
        <v>3125</v>
      </c>
      <c r="E2116" s="17">
        <v>0.75</v>
      </c>
      <c r="F2116" t="s">
        <v>3126</v>
      </c>
      <c r="G2116">
        <v>0.5</v>
      </c>
      <c r="H2116">
        <v>0.25</v>
      </c>
      <c r="Q2116" s="1"/>
      <c r="R2116" s="1"/>
    </row>
    <row r="2117" spans="1:18" ht="15.75" customHeight="1" x14ac:dyDescent="0.25">
      <c r="A2117" s="2">
        <v>5444643</v>
      </c>
      <c r="B2117">
        <v>5444643</v>
      </c>
      <c r="C2117" t="str">
        <f>HYPERLINK("https://ois.dk/map/5444643/sfe", "Link")</f>
        <v>Link</v>
      </c>
      <c r="D2117" t="s">
        <v>3127</v>
      </c>
      <c r="E2117" s="17">
        <v>0.5</v>
      </c>
      <c r="F2117" t="s">
        <v>3128</v>
      </c>
      <c r="G2117">
        <v>0.5</v>
      </c>
      <c r="Q2117" s="1"/>
      <c r="R2117" s="1"/>
    </row>
    <row r="2118" spans="1:18" ht="15.75" customHeight="1" x14ac:dyDescent="0.25">
      <c r="A2118" s="2">
        <v>5444644</v>
      </c>
      <c r="B2118">
        <v>5444644</v>
      </c>
      <c r="C2118" t="str">
        <f>HYPERLINK("https://ois.dk/map/5444644/sfe", "Link")</f>
        <v>Link</v>
      </c>
      <c r="D2118" t="s">
        <v>3129</v>
      </c>
      <c r="E2118" s="17">
        <v>0.5</v>
      </c>
      <c r="F2118" t="s">
        <v>3130</v>
      </c>
      <c r="G2118">
        <v>0.5</v>
      </c>
      <c r="Q2118" s="1"/>
      <c r="R2118" s="1"/>
    </row>
    <row r="2119" spans="1:18" ht="15.75" customHeight="1" x14ac:dyDescent="0.25">
      <c r="A2119" s="2">
        <v>5444645</v>
      </c>
      <c r="B2119">
        <v>5444645</v>
      </c>
      <c r="C2119" t="str">
        <f>HYPERLINK("https://ois.dk/map/5444645/sfe", "Link")</f>
        <v>Link</v>
      </c>
      <c r="D2119" t="s">
        <v>3131</v>
      </c>
      <c r="E2119" s="17">
        <v>0.5</v>
      </c>
      <c r="F2119" t="s">
        <v>3132</v>
      </c>
      <c r="G2119">
        <v>0.5</v>
      </c>
      <c r="Q2119" s="1"/>
      <c r="R2119" s="1"/>
    </row>
    <row r="2120" spans="1:18" ht="15.75" customHeight="1" x14ac:dyDescent="0.25">
      <c r="A2120" s="2">
        <v>5444646</v>
      </c>
      <c r="B2120">
        <v>5444646</v>
      </c>
      <c r="C2120" t="str">
        <f>HYPERLINK("https://ois.dk/map/5444646/sfe", "Link")</f>
        <v>Link</v>
      </c>
      <c r="D2120" t="s">
        <v>3133</v>
      </c>
      <c r="E2120" s="17">
        <v>0.5</v>
      </c>
      <c r="F2120" t="s">
        <v>3134</v>
      </c>
      <c r="G2120">
        <v>0.5</v>
      </c>
      <c r="Q2120" s="1"/>
      <c r="R2120" s="1"/>
    </row>
    <row r="2121" spans="1:18" ht="15.75" customHeight="1" x14ac:dyDescent="0.25">
      <c r="A2121" s="2">
        <v>5444647</v>
      </c>
      <c r="B2121">
        <v>5444647</v>
      </c>
      <c r="C2121" t="str">
        <f>HYPERLINK("https://ois.dk/map/5444647/sfe", "Link")</f>
        <v>Link</v>
      </c>
      <c r="D2121" t="s">
        <v>3135</v>
      </c>
      <c r="E2121" s="17">
        <v>0.5</v>
      </c>
      <c r="F2121" t="s">
        <v>3136</v>
      </c>
      <c r="G2121">
        <v>0.5</v>
      </c>
      <c r="Q2121" s="1"/>
      <c r="R2121" s="1"/>
    </row>
    <row r="2122" spans="1:18" ht="15.75" customHeight="1" x14ac:dyDescent="0.25">
      <c r="A2122" s="2">
        <v>5444648</v>
      </c>
      <c r="B2122">
        <v>5444648</v>
      </c>
      <c r="C2122" t="str">
        <f>HYPERLINK("https://ois.dk/map/5444648/sfe", "Link")</f>
        <v>Link</v>
      </c>
      <c r="D2122" t="s">
        <v>3137</v>
      </c>
      <c r="E2122" s="17">
        <v>0.5</v>
      </c>
      <c r="F2122" t="s">
        <v>3138</v>
      </c>
      <c r="G2122">
        <v>0.5</v>
      </c>
      <c r="Q2122" s="1"/>
      <c r="R2122" s="1"/>
    </row>
    <row r="2123" spans="1:18" ht="15.75" customHeight="1" x14ac:dyDescent="0.25">
      <c r="A2123" s="2">
        <v>5444651</v>
      </c>
      <c r="B2123">
        <v>5444651</v>
      </c>
      <c r="C2123" t="str">
        <f>HYPERLINK("https://ois.dk/map/5444651/sfe", "Link")</f>
        <v>Link</v>
      </c>
      <c r="D2123" t="s">
        <v>3139</v>
      </c>
      <c r="E2123" s="17">
        <v>0.5</v>
      </c>
      <c r="F2123" t="s">
        <v>3140</v>
      </c>
      <c r="G2123">
        <v>0.5</v>
      </c>
      <c r="Q2123" s="1"/>
      <c r="R2123" s="1"/>
    </row>
    <row r="2124" spans="1:18" ht="15.75" customHeight="1" x14ac:dyDescent="0.25">
      <c r="A2124" s="2">
        <v>5444656</v>
      </c>
      <c r="B2124">
        <v>5444656</v>
      </c>
      <c r="C2124" t="str">
        <f>HYPERLINK("https://ois.dk/map/5444656/sfe", "Link")</f>
        <v>Link</v>
      </c>
      <c r="D2124" t="s">
        <v>3141</v>
      </c>
      <c r="E2124" s="17">
        <v>1.75</v>
      </c>
      <c r="F2124" t="s">
        <v>3142</v>
      </c>
      <c r="G2124">
        <v>0.5</v>
      </c>
      <c r="H2124">
        <v>0.25</v>
      </c>
      <c r="I2124">
        <v>1</v>
      </c>
      <c r="Q2124" s="1"/>
      <c r="R2124" s="1">
        <v>1.46</v>
      </c>
    </row>
    <row r="2125" spans="1:18" ht="15.75" customHeight="1" x14ac:dyDescent="0.25">
      <c r="A2125" s="2">
        <v>5444664</v>
      </c>
      <c r="B2125">
        <v>5444664</v>
      </c>
      <c r="C2125" t="str">
        <f>HYPERLINK("https://ois.dk/map/5444664/sfe", "Link")</f>
        <v>Link</v>
      </c>
      <c r="D2125" t="s">
        <v>802</v>
      </c>
      <c r="E2125" s="17">
        <v>0.5</v>
      </c>
      <c r="F2125" t="s">
        <v>3143</v>
      </c>
      <c r="G2125">
        <v>0.5</v>
      </c>
      <c r="Q2125" s="1"/>
      <c r="R2125" s="1"/>
    </row>
    <row r="2126" spans="1:18" ht="15.75" customHeight="1" x14ac:dyDescent="0.25">
      <c r="A2126" s="2">
        <v>5444665</v>
      </c>
      <c r="B2126">
        <v>5444665</v>
      </c>
      <c r="C2126" t="str">
        <f>HYPERLINK("https://ois.dk/map/5444665/sfe", "Link")</f>
        <v>Link</v>
      </c>
      <c r="D2126" t="s">
        <v>812</v>
      </c>
      <c r="E2126" s="17">
        <v>1.75</v>
      </c>
      <c r="F2126" t="s">
        <v>3144</v>
      </c>
      <c r="G2126">
        <v>0.5</v>
      </c>
      <c r="H2126">
        <v>0.25</v>
      </c>
      <c r="I2126">
        <v>1</v>
      </c>
      <c r="Q2126" s="1"/>
      <c r="R2126" s="1">
        <v>1.24</v>
      </c>
    </row>
    <row r="2127" spans="1:18" ht="15.75" customHeight="1" x14ac:dyDescent="0.25">
      <c r="A2127" s="2">
        <v>5444669</v>
      </c>
      <c r="B2127">
        <v>5444669</v>
      </c>
      <c r="C2127" t="str">
        <f>HYPERLINK("https://ois.dk/map/5444669/sfe", "Link")</f>
        <v>Link</v>
      </c>
      <c r="D2127" t="s">
        <v>3145</v>
      </c>
      <c r="E2127" s="17">
        <v>1.75</v>
      </c>
      <c r="F2127" t="s">
        <v>3146</v>
      </c>
      <c r="G2127">
        <v>0.5</v>
      </c>
      <c r="H2127">
        <v>0.25</v>
      </c>
      <c r="I2127">
        <v>1</v>
      </c>
      <c r="Q2127" s="1"/>
      <c r="R2127" s="1">
        <v>2.09</v>
      </c>
    </row>
    <row r="2128" spans="1:18" ht="15.75" customHeight="1" x14ac:dyDescent="0.25">
      <c r="A2128" s="2">
        <v>5444671</v>
      </c>
      <c r="B2128">
        <v>5444671</v>
      </c>
      <c r="C2128" t="str">
        <f t="shared" ref="C2128:C2139" si="55">HYPERLINK("https://ois.dk/map/5444671/sfe", "Link")</f>
        <v>Link</v>
      </c>
      <c r="D2128" t="s">
        <v>3147</v>
      </c>
      <c r="E2128" s="17">
        <v>4.25</v>
      </c>
      <c r="F2128" t="s">
        <v>3148</v>
      </c>
      <c r="H2128">
        <v>0.25</v>
      </c>
      <c r="K2128">
        <v>4</v>
      </c>
      <c r="Q2128" s="1"/>
      <c r="R2128" s="1">
        <v>0.51</v>
      </c>
    </row>
    <row r="2129" spans="1:19" ht="15.75" customHeight="1" x14ac:dyDescent="0.25">
      <c r="A2129" s="2">
        <v>5444671</v>
      </c>
      <c r="B2129">
        <v>5444671</v>
      </c>
      <c r="C2129" t="str">
        <f t="shared" si="55"/>
        <v>Link</v>
      </c>
      <c r="D2129" t="s">
        <v>3147</v>
      </c>
      <c r="E2129" s="17">
        <v>1.5</v>
      </c>
      <c r="F2129" t="s">
        <v>3149</v>
      </c>
      <c r="G2129">
        <v>0.5</v>
      </c>
      <c r="I2129">
        <v>1</v>
      </c>
      <c r="Q2129" s="1"/>
      <c r="R2129" s="1">
        <v>1.79</v>
      </c>
    </row>
    <row r="2130" spans="1:19" ht="15.75" customHeight="1" x14ac:dyDescent="0.25">
      <c r="A2130" s="2">
        <v>5444671</v>
      </c>
      <c r="B2130">
        <v>5444671</v>
      </c>
      <c r="C2130" t="str">
        <f t="shared" si="55"/>
        <v>Link</v>
      </c>
      <c r="D2130" t="s">
        <v>3147</v>
      </c>
      <c r="E2130" s="17">
        <v>1.5</v>
      </c>
      <c r="F2130" t="s">
        <v>3150</v>
      </c>
      <c r="G2130">
        <v>0.5</v>
      </c>
      <c r="I2130">
        <v>1</v>
      </c>
      <c r="Q2130" s="1"/>
      <c r="R2130" s="1">
        <v>1.79</v>
      </c>
    </row>
    <row r="2131" spans="1:19" ht="15.75" customHeight="1" x14ac:dyDescent="0.25">
      <c r="A2131" s="2">
        <v>5444671</v>
      </c>
      <c r="B2131">
        <v>5444671</v>
      </c>
      <c r="C2131" t="str">
        <f t="shared" si="55"/>
        <v>Link</v>
      </c>
      <c r="D2131" t="s">
        <v>3147</v>
      </c>
      <c r="E2131" s="17">
        <v>1.5</v>
      </c>
      <c r="F2131" t="s">
        <v>3148</v>
      </c>
      <c r="G2131">
        <v>0.5</v>
      </c>
      <c r="I2131">
        <v>1</v>
      </c>
      <c r="Q2131" s="1"/>
      <c r="R2131" s="1">
        <v>2.02</v>
      </c>
    </row>
    <row r="2132" spans="1:19" ht="15.75" customHeight="1" x14ac:dyDescent="0.25">
      <c r="A2132" s="2">
        <v>5444671</v>
      </c>
      <c r="B2132">
        <v>5444671</v>
      </c>
      <c r="C2132" t="str">
        <f t="shared" si="55"/>
        <v>Link</v>
      </c>
      <c r="D2132" t="s">
        <v>3147</v>
      </c>
      <c r="E2132" s="17">
        <v>1.5</v>
      </c>
      <c r="F2132" t="s">
        <v>3151</v>
      </c>
      <c r="G2132">
        <v>0.5</v>
      </c>
      <c r="I2132">
        <v>1</v>
      </c>
      <c r="Q2132" s="1"/>
      <c r="R2132" s="1">
        <v>0.53</v>
      </c>
    </row>
    <row r="2133" spans="1:19" ht="15.75" customHeight="1" x14ac:dyDescent="0.25">
      <c r="A2133" s="2">
        <v>5444671</v>
      </c>
      <c r="B2133">
        <v>5444671</v>
      </c>
      <c r="C2133" t="str">
        <f t="shared" si="55"/>
        <v>Link</v>
      </c>
      <c r="D2133" t="s">
        <v>3147</v>
      </c>
      <c r="E2133" s="17">
        <v>1.5</v>
      </c>
      <c r="F2133" t="s">
        <v>3152</v>
      </c>
      <c r="G2133">
        <v>0.5</v>
      </c>
      <c r="I2133">
        <v>1</v>
      </c>
      <c r="Q2133" s="1"/>
      <c r="R2133" s="1">
        <v>0.55000000000000004</v>
      </c>
    </row>
    <row r="2134" spans="1:19" ht="15.75" customHeight="1" x14ac:dyDescent="0.25">
      <c r="A2134" s="2">
        <v>5444671</v>
      </c>
      <c r="B2134">
        <v>5444671</v>
      </c>
      <c r="C2134" t="str">
        <f t="shared" si="55"/>
        <v>Link</v>
      </c>
      <c r="D2134" t="s">
        <v>3147</v>
      </c>
      <c r="E2134" s="17">
        <v>1.5</v>
      </c>
      <c r="F2134" t="s">
        <v>3153</v>
      </c>
      <c r="G2134">
        <v>0.5</v>
      </c>
      <c r="I2134">
        <v>1</v>
      </c>
      <c r="Q2134" s="1"/>
      <c r="R2134" s="1">
        <v>0.55000000000000004</v>
      </c>
    </row>
    <row r="2135" spans="1:19" ht="15.75" customHeight="1" x14ac:dyDescent="0.25">
      <c r="A2135" s="2">
        <v>5444671</v>
      </c>
      <c r="B2135">
        <v>5444671</v>
      </c>
      <c r="C2135" t="str">
        <f t="shared" si="55"/>
        <v>Link</v>
      </c>
      <c r="D2135" t="s">
        <v>3147</v>
      </c>
      <c r="E2135" s="17">
        <v>1.5</v>
      </c>
      <c r="F2135" t="s">
        <v>3154</v>
      </c>
      <c r="G2135">
        <v>0.5</v>
      </c>
      <c r="I2135">
        <v>1</v>
      </c>
      <c r="Q2135" s="1"/>
      <c r="R2135" s="1">
        <v>0.55000000000000004</v>
      </c>
    </row>
    <row r="2136" spans="1:19" ht="15.75" customHeight="1" x14ac:dyDescent="0.25">
      <c r="A2136" s="2">
        <v>5444671</v>
      </c>
      <c r="B2136">
        <v>5444671</v>
      </c>
      <c r="C2136" t="str">
        <f t="shared" si="55"/>
        <v>Link</v>
      </c>
      <c r="D2136" t="s">
        <v>3147</v>
      </c>
      <c r="E2136" s="17">
        <v>1.5</v>
      </c>
      <c r="F2136" t="s">
        <v>3155</v>
      </c>
      <c r="G2136">
        <v>0.5</v>
      </c>
      <c r="I2136">
        <v>1</v>
      </c>
      <c r="Q2136" s="1"/>
      <c r="R2136" s="1">
        <v>0.51</v>
      </c>
    </row>
    <row r="2137" spans="1:19" ht="15.75" customHeight="1" x14ac:dyDescent="0.25">
      <c r="A2137" s="2">
        <v>5444671</v>
      </c>
      <c r="B2137">
        <v>5444671</v>
      </c>
      <c r="C2137" t="str">
        <f t="shared" si="55"/>
        <v>Link</v>
      </c>
      <c r="D2137" t="s">
        <v>3147</v>
      </c>
      <c r="E2137" s="17">
        <v>1.5</v>
      </c>
      <c r="F2137" t="s">
        <v>3156</v>
      </c>
      <c r="G2137">
        <v>0.5</v>
      </c>
      <c r="I2137">
        <v>1</v>
      </c>
      <c r="Q2137" s="1"/>
      <c r="R2137" s="1">
        <v>0.56000000000000005</v>
      </c>
    </row>
    <row r="2138" spans="1:19" ht="15.75" customHeight="1" x14ac:dyDescent="0.25">
      <c r="A2138" s="2">
        <v>5444671</v>
      </c>
      <c r="B2138">
        <v>5444671</v>
      </c>
      <c r="C2138" t="str">
        <f t="shared" si="55"/>
        <v>Link</v>
      </c>
      <c r="D2138" t="s">
        <v>3147</v>
      </c>
      <c r="E2138" s="17">
        <v>1.5</v>
      </c>
      <c r="F2138" t="s">
        <v>3157</v>
      </c>
      <c r="G2138">
        <v>0.5</v>
      </c>
      <c r="I2138">
        <v>1</v>
      </c>
      <c r="Q2138" s="1"/>
      <c r="R2138" s="1">
        <v>0.53</v>
      </c>
    </row>
    <row r="2139" spans="1:19" ht="15.75" customHeight="1" x14ac:dyDescent="0.25">
      <c r="A2139" s="2">
        <v>5444671</v>
      </c>
      <c r="B2139">
        <v>5444671</v>
      </c>
      <c r="C2139" t="str">
        <f t="shared" si="55"/>
        <v>Link</v>
      </c>
      <c r="D2139" t="s">
        <v>3147</v>
      </c>
      <c r="E2139" s="17">
        <v>1.5</v>
      </c>
      <c r="F2139" t="s">
        <v>3158</v>
      </c>
      <c r="G2139">
        <v>0.5</v>
      </c>
      <c r="I2139">
        <v>1</v>
      </c>
      <c r="Q2139" s="1"/>
      <c r="R2139" s="1">
        <v>0.56000000000000005</v>
      </c>
    </row>
    <row r="2140" spans="1:19" ht="15.75" customHeight="1" x14ac:dyDescent="0.25">
      <c r="A2140" s="2">
        <v>5444679</v>
      </c>
      <c r="B2140">
        <v>5444679</v>
      </c>
      <c r="C2140" t="str">
        <f>HYPERLINK("https://ois.dk/map/5444679/sfe", "Link")</f>
        <v>Link</v>
      </c>
      <c r="D2140" t="s">
        <v>3159</v>
      </c>
      <c r="E2140" s="17">
        <v>1.75</v>
      </c>
      <c r="F2140" t="s">
        <v>3160</v>
      </c>
      <c r="G2140">
        <v>0.5</v>
      </c>
      <c r="H2140">
        <v>0.25</v>
      </c>
      <c r="I2140">
        <v>1</v>
      </c>
      <c r="Q2140" s="1"/>
      <c r="R2140" s="1">
        <v>1.84</v>
      </c>
    </row>
    <row r="2141" spans="1:19" ht="15.75" customHeight="1" x14ac:dyDescent="0.25">
      <c r="A2141" s="2">
        <v>5444680</v>
      </c>
      <c r="B2141">
        <v>5444680</v>
      </c>
      <c r="C2141" t="str">
        <f>HYPERLINK("https://ois.dk/map/5444680/sfe", "Link")</f>
        <v>Link</v>
      </c>
      <c r="D2141" t="s">
        <v>3161</v>
      </c>
      <c r="E2141" s="17">
        <v>2.0499999999999998</v>
      </c>
      <c r="F2141" t="s">
        <v>3162</v>
      </c>
      <c r="G2141">
        <v>0.5</v>
      </c>
      <c r="H2141">
        <v>0.25</v>
      </c>
      <c r="I2141">
        <v>1</v>
      </c>
      <c r="J2141">
        <v>0.3</v>
      </c>
      <c r="Q2141" s="1"/>
      <c r="R2141" s="1">
        <v>1.67</v>
      </c>
      <c r="S2141">
        <v>1.49</v>
      </c>
    </row>
    <row r="2142" spans="1:19" ht="15.75" customHeight="1" x14ac:dyDescent="0.25">
      <c r="A2142" s="2">
        <v>5444684</v>
      </c>
      <c r="B2142">
        <v>5444684</v>
      </c>
      <c r="C2142" t="str">
        <f>HYPERLINK("https://ois.dk/map/5444684/sfe", "Link")</f>
        <v>Link</v>
      </c>
      <c r="D2142" t="s">
        <v>3163</v>
      </c>
      <c r="E2142" s="17">
        <v>1.05</v>
      </c>
      <c r="F2142" t="s">
        <v>3164</v>
      </c>
      <c r="G2142">
        <v>0.5</v>
      </c>
      <c r="H2142">
        <v>0.25</v>
      </c>
      <c r="J2142">
        <v>0.3</v>
      </c>
      <c r="Q2142" s="1"/>
      <c r="R2142" s="1"/>
      <c r="S2142">
        <v>1.65</v>
      </c>
    </row>
    <row r="2143" spans="1:19" ht="15.75" customHeight="1" x14ac:dyDescent="0.25">
      <c r="A2143" s="2">
        <v>5444685</v>
      </c>
      <c r="B2143">
        <v>5444685</v>
      </c>
      <c r="C2143" t="str">
        <f>HYPERLINK("https://ois.dk/map/5444685/sfe", "Link")</f>
        <v>Link</v>
      </c>
      <c r="D2143" t="s">
        <v>3165</v>
      </c>
      <c r="E2143" s="17">
        <v>2.0499999999999998</v>
      </c>
      <c r="F2143" t="s">
        <v>3166</v>
      </c>
      <c r="G2143">
        <v>0.5</v>
      </c>
      <c r="H2143">
        <v>0.25</v>
      </c>
      <c r="I2143">
        <v>1</v>
      </c>
      <c r="J2143">
        <v>0.3</v>
      </c>
      <c r="Q2143" s="1"/>
      <c r="R2143" s="1">
        <v>1.78</v>
      </c>
      <c r="S2143">
        <v>1.57</v>
      </c>
    </row>
    <row r="2144" spans="1:19" ht="15.75" customHeight="1" x14ac:dyDescent="0.25">
      <c r="A2144" s="2">
        <v>5444688</v>
      </c>
      <c r="B2144">
        <v>5444688</v>
      </c>
      <c r="C2144" t="str">
        <f>HYPERLINK("https://ois.dk/map/5444688/sfe", "Link")</f>
        <v>Link</v>
      </c>
      <c r="D2144" t="s">
        <v>3167</v>
      </c>
      <c r="E2144" s="17">
        <v>2.0499999999999998</v>
      </c>
      <c r="F2144" t="s">
        <v>3168</v>
      </c>
      <c r="G2144">
        <v>0.5</v>
      </c>
      <c r="H2144">
        <v>0.25</v>
      </c>
      <c r="I2144">
        <v>1</v>
      </c>
      <c r="J2144">
        <v>0.3</v>
      </c>
      <c r="Q2144" s="1"/>
      <c r="R2144" s="1">
        <v>1.67</v>
      </c>
      <c r="S2144">
        <v>1.39</v>
      </c>
    </row>
    <row r="2145" spans="1:19" ht="15.75" customHeight="1" x14ac:dyDescent="0.25">
      <c r="A2145" s="2">
        <v>5444689</v>
      </c>
      <c r="B2145">
        <v>5444689</v>
      </c>
      <c r="C2145" t="str">
        <f>HYPERLINK("https://ois.dk/map/5444689/sfe", "Link")</f>
        <v>Link</v>
      </c>
      <c r="D2145" t="s">
        <v>3169</v>
      </c>
      <c r="E2145" s="17">
        <v>1.75</v>
      </c>
      <c r="F2145" t="s">
        <v>3170</v>
      </c>
      <c r="G2145">
        <v>0.5</v>
      </c>
      <c r="H2145">
        <v>0.25</v>
      </c>
      <c r="I2145">
        <v>1</v>
      </c>
      <c r="Q2145" s="1"/>
      <c r="R2145" s="1">
        <v>1.58</v>
      </c>
    </row>
    <row r="2146" spans="1:19" ht="15.75" customHeight="1" x14ac:dyDescent="0.25">
      <c r="A2146" s="2">
        <v>5444690</v>
      </c>
      <c r="B2146">
        <v>5444690</v>
      </c>
      <c r="C2146" t="str">
        <f>HYPERLINK("https://ois.dk/map/5444690/sfe", "Link")</f>
        <v>Link</v>
      </c>
      <c r="D2146" t="s">
        <v>3171</v>
      </c>
      <c r="E2146" s="17">
        <v>1.75</v>
      </c>
      <c r="F2146" t="s">
        <v>3172</v>
      </c>
      <c r="G2146">
        <v>0.5</v>
      </c>
      <c r="H2146">
        <v>0.25</v>
      </c>
      <c r="I2146">
        <v>1</v>
      </c>
      <c r="Q2146" s="1"/>
      <c r="R2146" s="1">
        <v>1.53</v>
      </c>
    </row>
    <row r="2147" spans="1:19" ht="15.75" customHeight="1" x14ac:dyDescent="0.25">
      <c r="A2147" s="2">
        <v>5444692</v>
      </c>
      <c r="B2147">
        <v>5444692</v>
      </c>
      <c r="C2147" t="str">
        <f>HYPERLINK("https://ois.dk/map/5444692/sfe", "Link")</f>
        <v>Link</v>
      </c>
      <c r="D2147" t="s">
        <v>3173</v>
      </c>
      <c r="E2147" s="17">
        <v>1.75</v>
      </c>
      <c r="F2147" t="s">
        <v>3174</v>
      </c>
      <c r="G2147">
        <v>0.5</v>
      </c>
      <c r="H2147">
        <v>0.25</v>
      </c>
      <c r="I2147">
        <v>1</v>
      </c>
      <c r="Q2147" s="1"/>
      <c r="R2147" s="1">
        <v>1.5</v>
      </c>
    </row>
    <row r="2148" spans="1:19" ht="15.75" customHeight="1" x14ac:dyDescent="0.25">
      <c r="A2148" s="2">
        <v>5444694</v>
      </c>
      <c r="B2148">
        <v>5444694</v>
      </c>
      <c r="C2148" t="str">
        <f>HYPERLINK("https://ois.dk/map/5444694/sfe", "Link")</f>
        <v>Link</v>
      </c>
      <c r="D2148" t="s">
        <v>3175</v>
      </c>
      <c r="E2148" s="17">
        <v>0.5</v>
      </c>
      <c r="F2148" t="s">
        <v>3176</v>
      </c>
      <c r="G2148">
        <v>0.5</v>
      </c>
      <c r="Q2148" s="1"/>
      <c r="R2148" s="1"/>
    </row>
    <row r="2149" spans="1:19" ht="15.75" customHeight="1" x14ac:dyDescent="0.25">
      <c r="A2149" s="2">
        <v>5444697</v>
      </c>
      <c r="B2149">
        <v>5444697</v>
      </c>
      <c r="C2149" t="str">
        <f>HYPERLINK("https://ois.dk/map/5444697/sfe", "Link")</f>
        <v>Link</v>
      </c>
      <c r="D2149" t="s">
        <v>3177</v>
      </c>
      <c r="E2149" s="17">
        <v>0.75</v>
      </c>
      <c r="F2149" t="s">
        <v>3178</v>
      </c>
      <c r="G2149">
        <v>0.5</v>
      </c>
      <c r="H2149">
        <v>0.25</v>
      </c>
      <c r="Q2149" s="1"/>
      <c r="R2149" s="1"/>
    </row>
    <row r="2150" spans="1:19" ht="15.75" customHeight="1" x14ac:dyDescent="0.25">
      <c r="A2150" s="2">
        <v>5444698</v>
      </c>
      <c r="B2150">
        <v>5444698</v>
      </c>
      <c r="C2150" t="str">
        <f>HYPERLINK("https://ois.dk/map/5444698/sfe", "Link")</f>
        <v>Link</v>
      </c>
      <c r="D2150" t="s">
        <v>3179</v>
      </c>
      <c r="E2150" s="17">
        <v>1.75</v>
      </c>
      <c r="F2150" t="s">
        <v>3180</v>
      </c>
      <c r="G2150">
        <v>0.5</v>
      </c>
      <c r="H2150">
        <v>0.25</v>
      </c>
      <c r="I2150">
        <v>1</v>
      </c>
      <c r="Q2150" s="1"/>
      <c r="R2150" s="1">
        <v>1.93</v>
      </c>
    </row>
    <row r="2151" spans="1:19" ht="15.75" customHeight="1" x14ac:dyDescent="0.25">
      <c r="A2151" s="2">
        <v>5444699</v>
      </c>
      <c r="B2151">
        <v>5444699</v>
      </c>
      <c r="C2151" t="str">
        <f>HYPERLINK("https://ois.dk/map/5444699/sfe", "Link")</f>
        <v>Link</v>
      </c>
      <c r="D2151" t="s">
        <v>3181</v>
      </c>
      <c r="E2151" s="17">
        <v>1.75</v>
      </c>
      <c r="F2151" t="s">
        <v>3182</v>
      </c>
      <c r="G2151">
        <v>0.5</v>
      </c>
      <c r="H2151">
        <v>0.25</v>
      </c>
      <c r="I2151">
        <v>1</v>
      </c>
      <c r="Q2151" s="1"/>
      <c r="R2151" s="1">
        <v>1.74</v>
      </c>
    </row>
    <row r="2152" spans="1:19" ht="15.75" customHeight="1" x14ac:dyDescent="0.25">
      <c r="A2152" s="2">
        <v>5444700</v>
      </c>
      <c r="B2152">
        <v>5444700</v>
      </c>
      <c r="C2152" t="str">
        <f>HYPERLINK("https://ois.dk/map/5444700/sfe", "Link")</f>
        <v>Link</v>
      </c>
      <c r="D2152" t="s">
        <v>3183</v>
      </c>
      <c r="E2152" s="17">
        <v>1.75</v>
      </c>
      <c r="F2152" t="s">
        <v>3184</v>
      </c>
      <c r="G2152">
        <v>0.5</v>
      </c>
      <c r="H2152">
        <v>0.25</v>
      </c>
      <c r="I2152">
        <v>1</v>
      </c>
      <c r="Q2152" s="1"/>
      <c r="R2152" s="1">
        <v>1.86</v>
      </c>
    </row>
    <row r="2153" spans="1:19" ht="15.75" customHeight="1" x14ac:dyDescent="0.25">
      <c r="A2153" s="2">
        <v>5444701</v>
      </c>
      <c r="B2153">
        <v>5444701</v>
      </c>
      <c r="C2153" t="str">
        <f>HYPERLINK("https://ois.dk/map/5444701/sfe", "Link")</f>
        <v>Link</v>
      </c>
      <c r="D2153" t="s">
        <v>3185</v>
      </c>
      <c r="E2153" s="17">
        <v>1.75</v>
      </c>
      <c r="F2153" t="s">
        <v>3186</v>
      </c>
      <c r="G2153">
        <v>0.5</v>
      </c>
      <c r="H2153">
        <v>0.25</v>
      </c>
      <c r="I2153">
        <v>1</v>
      </c>
      <c r="Q2153" s="1"/>
      <c r="R2153" s="1">
        <v>2.02</v>
      </c>
    </row>
    <row r="2154" spans="1:19" ht="15.75" customHeight="1" x14ac:dyDescent="0.25">
      <c r="A2154" s="2">
        <v>5444703</v>
      </c>
      <c r="B2154">
        <v>5444703</v>
      </c>
      <c r="C2154" t="str">
        <f>HYPERLINK("https://ois.dk/map/5444703/sfe", "Link")</f>
        <v>Link</v>
      </c>
      <c r="D2154" t="s">
        <v>3187</v>
      </c>
      <c r="E2154" s="17">
        <v>1.75</v>
      </c>
      <c r="F2154" t="s">
        <v>3188</v>
      </c>
      <c r="G2154">
        <v>0.5</v>
      </c>
      <c r="H2154">
        <v>0.25</v>
      </c>
      <c r="I2154">
        <v>1</v>
      </c>
      <c r="Q2154" s="1"/>
      <c r="R2154" s="1">
        <v>1.89</v>
      </c>
    </row>
    <row r="2155" spans="1:19" ht="15.75" customHeight="1" x14ac:dyDescent="0.25">
      <c r="A2155" s="2">
        <v>5444704</v>
      </c>
      <c r="B2155">
        <v>5444704</v>
      </c>
      <c r="C2155" t="str">
        <f>HYPERLINK("https://ois.dk/map/5444704/sfe", "Link")</f>
        <v>Link</v>
      </c>
      <c r="D2155" t="s">
        <v>3189</v>
      </c>
      <c r="E2155" s="17">
        <v>1.75</v>
      </c>
      <c r="F2155" t="s">
        <v>3190</v>
      </c>
      <c r="G2155">
        <v>0.5</v>
      </c>
      <c r="H2155">
        <v>0.25</v>
      </c>
      <c r="I2155">
        <v>1</v>
      </c>
      <c r="Q2155" s="1"/>
      <c r="R2155" s="1">
        <v>1.85</v>
      </c>
    </row>
    <row r="2156" spans="1:19" ht="15.75" customHeight="1" x14ac:dyDescent="0.25">
      <c r="A2156" s="2">
        <v>5444705</v>
      </c>
      <c r="B2156">
        <v>5444705</v>
      </c>
      <c r="C2156" t="str">
        <f>HYPERLINK("https://ois.dk/map/5444705/sfe", "Link")</f>
        <v>Link</v>
      </c>
      <c r="D2156" t="s">
        <v>3191</v>
      </c>
      <c r="E2156" s="17">
        <v>1.75</v>
      </c>
      <c r="F2156" t="s">
        <v>3192</v>
      </c>
      <c r="G2156">
        <v>0.5</v>
      </c>
      <c r="H2156">
        <v>0.25</v>
      </c>
      <c r="I2156">
        <v>1</v>
      </c>
      <c r="Q2156" s="1"/>
      <c r="R2156" s="1">
        <v>1.84</v>
      </c>
    </row>
    <row r="2157" spans="1:19" ht="15.75" customHeight="1" x14ac:dyDescent="0.25">
      <c r="A2157" s="2">
        <v>5444706</v>
      </c>
      <c r="B2157">
        <v>5444706</v>
      </c>
      <c r="C2157" t="str">
        <f>HYPERLINK("https://ois.dk/map/5444706/sfe", "Link")</f>
        <v>Link</v>
      </c>
      <c r="D2157" t="s">
        <v>3193</v>
      </c>
      <c r="E2157" s="17">
        <v>1.05</v>
      </c>
      <c r="F2157" t="s">
        <v>3194</v>
      </c>
      <c r="G2157">
        <v>0.5</v>
      </c>
      <c r="H2157">
        <v>0.25</v>
      </c>
      <c r="J2157">
        <v>0.3</v>
      </c>
      <c r="Q2157" s="1"/>
      <c r="R2157" s="1"/>
      <c r="S2157">
        <v>1.29</v>
      </c>
    </row>
    <row r="2158" spans="1:19" ht="15.75" customHeight="1" x14ac:dyDescent="0.25">
      <c r="A2158" s="2">
        <v>5444707</v>
      </c>
      <c r="B2158">
        <v>5444707</v>
      </c>
      <c r="C2158" t="str">
        <f>HYPERLINK("https://ois.dk/map/5444707/sfe", "Link")</f>
        <v>Link</v>
      </c>
      <c r="D2158" t="s">
        <v>3195</v>
      </c>
      <c r="E2158" s="17">
        <v>1.05</v>
      </c>
      <c r="F2158" t="s">
        <v>3196</v>
      </c>
      <c r="G2158">
        <v>0.5</v>
      </c>
      <c r="H2158">
        <v>0.25</v>
      </c>
      <c r="J2158">
        <v>0.3</v>
      </c>
      <c r="Q2158" s="1"/>
      <c r="R2158" s="1"/>
      <c r="S2158">
        <v>1.4</v>
      </c>
    </row>
    <row r="2159" spans="1:19" ht="15.75" customHeight="1" x14ac:dyDescent="0.25">
      <c r="A2159" s="2">
        <v>5444708</v>
      </c>
      <c r="B2159">
        <v>5444708</v>
      </c>
      <c r="C2159" t="str">
        <f>HYPERLINK("https://ois.dk/map/5444708/sfe", "Link")</f>
        <v>Link</v>
      </c>
      <c r="D2159" t="s">
        <v>3197</v>
      </c>
      <c r="E2159" s="17">
        <v>1.05</v>
      </c>
      <c r="F2159" t="s">
        <v>3198</v>
      </c>
      <c r="G2159">
        <v>0.5</v>
      </c>
      <c r="H2159">
        <v>0.25</v>
      </c>
      <c r="J2159">
        <v>0.3</v>
      </c>
      <c r="Q2159" s="1"/>
      <c r="R2159" s="1"/>
      <c r="S2159">
        <v>1.48</v>
      </c>
    </row>
    <row r="2160" spans="1:19" ht="15.75" customHeight="1" x14ac:dyDescent="0.25">
      <c r="A2160" s="2">
        <v>5444709</v>
      </c>
      <c r="B2160">
        <v>5444709</v>
      </c>
      <c r="C2160" t="str">
        <f>HYPERLINK("https://ois.dk/map/5444709/sfe", "Link")</f>
        <v>Link</v>
      </c>
      <c r="D2160" t="s">
        <v>3199</v>
      </c>
      <c r="E2160" s="17">
        <v>1.05</v>
      </c>
      <c r="F2160" t="s">
        <v>3200</v>
      </c>
      <c r="G2160">
        <v>0.5</v>
      </c>
      <c r="H2160">
        <v>0.25</v>
      </c>
      <c r="J2160">
        <v>0.3</v>
      </c>
      <c r="Q2160" s="1"/>
      <c r="R2160" s="1"/>
      <c r="S2160">
        <v>1.01</v>
      </c>
    </row>
    <row r="2161" spans="1:19" ht="15.75" customHeight="1" x14ac:dyDescent="0.25">
      <c r="A2161" s="2">
        <v>5444710</v>
      </c>
      <c r="B2161">
        <v>5444710</v>
      </c>
      <c r="C2161" t="str">
        <f>HYPERLINK("https://ois.dk/map/5444710/sfe", "Link")</f>
        <v>Link</v>
      </c>
      <c r="D2161" t="s">
        <v>3201</v>
      </c>
      <c r="E2161" s="17">
        <v>1.05</v>
      </c>
      <c r="F2161" t="s">
        <v>3202</v>
      </c>
      <c r="G2161">
        <v>0.5</v>
      </c>
      <c r="H2161">
        <v>0.25</v>
      </c>
      <c r="J2161">
        <v>0.3</v>
      </c>
      <c r="Q2161" s="1"/>
      <c r="R2161" s="1"/>
      <c r="S2161">
        <v>1.33</v>
      </c>
    </row>
    <row r="2162" spans="1:19" ht="15.75" customHeight="1" x14ac:dyDescent="0.25">
      <c r="A2162" s="2">
        <v>5444711</v>
      </c>
      <c r="B2162">
        <v>5444711</v>
      </c>
      <c r="C2162" t="str">
        <f>HYPERLINK("https://ois.dk/map/5444711/sfe", "Link")</f>
        <v>Link</v>
      </c>
      <c r="D2162" t="s">
        <v>3203</v>
      </c>
      <c r="E2162" s="17">
        <v>1.05</v>
      </c>
      <c r="F2162" t="s">
        <v>3204</v>
      </c>
      <c r="G2162">
        <v>0.5</v>
      </c>
      <c r="H2162">
        <v>0.25</v>
      </c>
      <c r="J2162">
        <v>0.3</v>
      </c>
      <c r="Q2162" s="1"/>
      <c r="R2162" s="1"/>
      <c r="S2162">
        <v>1.67</v>
      </c>
    </row>
    <row r="2163" spans="1:19" ht="15.75" customHeight="1" x14ac:dyDescent="0.25">
      <c r="A2163" s="2">
        <v>5444712</v>
      </c>
      <c r="B2163">
        <v>5444712</v>
      </c>
      <c r="C2163" t="str">
        <f>HYPERLINK("https://ois.dk/map/5444712/sfe", "Link")</f>
        <v>Link</v>
      </c>
      <c r="D2163" t="s">
        <v>3205</v>
      </c>
      <c r="E2163" s="17">
        <v>1.75</v>
      </c>
      <c r="F2163" t="s">
        <v>3206</v>
      </c>
      <c r="G2163">
        <v>0.5</v>
      </c>
      <c r="H2163">
        <v>0.25</v>
      </c>
      <c r="I2163">
        <v>1</v>
      </c>
      <c r="Q2163" s="1"/>
      <c r="R2163" s="1">
        <v>1.7</v>
      </c>
    </row>
    <row r="2164" spans="1:19" ht="15.75" customHeight="1" x14ac:dyDescent="0.25">
      <c r="A2164" s="2">
        <v>5444713</v>
      </c>
      <c r="B2164">
        <v>5444713</v>
      </c>
      <c r="C2164" t="str">
        <f>HYPERLINK("https://ois.dk/map/5444713/sfe", "Link")</f>
        <v>Link</v>
      </c>
      <c r="D2164" t="s">
        <v>3207</v>
      </c>
      <c r="E2164" s="17">
        <v>1.75</v>
      </c>
      <c r="F2164" t="s">
        <v>3178</v>
      </c>
      <c r="G2164">
        <v>0.5</v>
      </c>
      <c r="H2164">
        <v>0.25</v>
      </c>
      <c r="I2164">
        <v>1</v>
      </c>
      <c r="Q2164" s="1"/>
      <c r="R2164" s="1">
        <v>1.97</v>
      </c>
    </row>
    <row r="2165" spans="1:19" ht="15.75" customHeight="1" x14ac:dyDescent="0.25">
      <c r="A2165" s="2">
        <v>5444716</v>
      </c>
      <c r="B2165">
        <v>5444716</v>
      </c>
      <c r="C2165" t="str">
        <f>HYPERLINK("https://ois.dk/map/5444716/sfe", "Link")</f>
        <v>Link</v>
      </c>
      <c r="D2165" t="s">
        <v>836</v>
      </c>
      <c r="E2165" s="17">
        <v>0.75</v>
      </c>
      <c r="F2165" t="s">
        <v>3208</v>
      </c>
      <c r="G2165">
        <v>0.5</v>
      </c>
      <c r="H2165">
        <v>0.25</v>
      </c>
      <c r="Q2165" s="1"/>
      <c r="R2165" s="1"/>
    </row>
    <row r="2166" spans="1:19" ht="15.75" customHeight="1" x14ac:dyDescent="0.25">
      <c r="A2166" s="2">
        <v>5444717</v>
      </c>
      <c r="B2166">
        <v>5444717</v>
      </c>
      <c r="C2166" t="str">
        <f>HYPERLINK("https://ois.dk/map/5444717/sfe", "Link")</f>
        <v>Link</v>
      </c>
      <c r="D2166" t="s">
        <v>3209</v>
      </c>
      <c r="E2166" s="17">
        <v>1.75</v>
      </c>
      <c r="F2166" t="s">
        <v>3210</v>
      </c>
      <c r="G2166">
        <v>0.5</v>
      </c>
      <c r="H2166">
        <v>0.25</v>
      </c>
      <c r="I2166">
        <v>1</v>
      </c>
      <c r="Q2166" s="1"/>
      <c r="R2166" s="1">
        <v>1.28</v>
      </c>
    </row>
    <row r="2167" spans="1:19" ht="15.75" customHeight="1" x14ac:dyDescent="0.25">
      <c r="A2167" s="2">
        <v>5444718</v>
      </c>
      <c r="B2167">
        <v>5444718</v>
      </c>
      <c r="C2167" t="str">
        <f>HYPERLINK("https://ois.dk/map/5444718/sfe", "Link")</f>
        <v>Link</v>
      </c>
      <c r="D2167" t="s">
        <v>837</v>
      </c>
      <c r="E2167" s="17">
        <v>0.25</v>
      </c>
      <c r="F2167" t="s">
        <v>3211</v>
      </c>
      <c r="H2167">
        <v>0.25</v>
      </c>
      <c r="Q2167" s="1"/>
      <c r="R2167" s="1">
        <v>0.9</v>
      </c>
    </row>
    <row r="2168" spans="1:19" ht="15.75" customHeight="1" x14ac:dyDescent="0.25">
      <c r="A2168" s="2">
        <v>5444718</v>
      </c>
      <c r="B2168">
        <v>5444718</v>
      </c>
      <c r="C2168" t="str">
        <f>HYPERLINK("https://ois.dk/map/5444718/sfe", "Link")</f>
        <v>Link</v>
      </c>
      <c r="D2168" t="s">
        <v>837</v>
      </c>
      <c r="E2168" s="17">
        <v>1.5</v>
      </c>
      <c r="F2168" t="s">
        <v>3211</v>
      </c>
      <c r="G2168">
        <v>0.5</v>
      </c>
      <c r="I2168">
        <v>1</v>
      </c>
      <c r="Q2168" s="1"/>
      <c r="R2168" s="1">
        <v>1.27</v>
      </c>
    </row>
    <row r="2169" spans="1:19" ht="15.75" customHeight="1" x14ac:dyDescent="0.25">
      <c r="A2169" s="2">
        <v>5444718</v>
      </c>
      <c r="B2169">
        <v>5444718</v>
      </c>
      <c r="C2169" t="str">
        <f>HYPERLINK("https://ois.dk/map/5444718/sfe", "Link")</f>
        <v>Link</v>
      </c>
      <c r="D2169" t="s">
        <v>837</v>
      </c>
      <c r="E2169" s="17">
        <v>1.5</v>
      </c>
      <c r="F2169" t="s">
        <v>3211</v>
      </c>
      <c r="G2169">
        <v>0.5</v>
      </c>
      <c r="I2169">
        <v>1</v>
      </c>
      <c r="Q2169" s="1"/>
      <c r="R2169" s="1">
        <v>0.9</v>
      </c>
    </row>
    <row r="2170" spans="1:19" ht="15.75" customHeight="1" x14ac:dyDescent="0.25">
      <c r="A2170" s="2">
        <v>5444721</v>
      </c>
      <c r="B2170">
        <v>5444721</v>
      </c>
      <c r="C2170" t="str">
        <f>HYPERLINK("https://ois.dk/map/5444721/sfe", "Link")</f>
        <v>Link</v>
      </c>
      <c r="D2170" t="s">
        <v>3212</v>
      </c>
      <c r="E2170" s="17">
        <v>1.75</v>
      </c>
      <c r="F2170" t="s">
        <v>3213</v>
      </c>
      <c r="G2170">
        <v>0.5</v>
      </c>
      <c r="H2170">
        <v>0.25</v>
      </c>
      <c r="I2170">
        <v>1</v>
      </c>
      <c r="Q2170" s="1"/>
      <c r="R2170" s="1">
        <v>0.83</v>
      </c>
    </row>
    <row r="2171" spans="1:19" ht="15.75" customHeight="1" x14ac:dyDescent="0.25">
      <c r="A2171" s="2">
        <v>5444722</v>
      </c>
      <c r="B2171">
        <v>5444722</v>
      </c>
      <c r="C2171" t="str">
        <f>HYPERLINK("https://ois.dk/map/5444722/sfe", "Link")</f>
        <v>Link</v>
      </c>
      <c r="D2171" t="s">
        <v>3214</v>
      </c>
      <c r="E2171" s="17">
        <v>1.75</v>
      </c>
      <c r="F2171" t="s">
        <v>3215</v>
      </c>
      <c r="G2171">
        <v>0.5</v>
      </c>
      <c r="H2171">
        <v>0.25</v>
      </c>
      <c r="I2171">
        <v>1</v>
      </c>
      <c r="Q2171" s="1"/>
      <c r="R2171" s="1">
        <v>0.85</v>
      </c>
    </row>
    <row r="2172" spans="1:19" ht="15.75" customHeight="1" x14ac:dyDescent="0.25">
      <c r="A2172" s="2">
        <v>5444723</v>
      </c>
      <c r="B2172">
        <v>5444723</v>
      </c>
      <c r="C2172" t="str">
        <f>HYPERLINK("https://ois.dk/map/5444723/sfe", "Link")</f>
        <v>Link</v>
      </c>
      <c r="D2172" t="s">
        <v>3216</v>
      </c>
      <c r="E2172" s="17">
        <v>1.75</v>
      </c>
      <c r="F2172" t="s">
        <v>3217</v>
      </c>
      <c r="G2172">
        <v>0.5</v>
      </c>
      <c r="H2172">
        <v>0.25</v>
      </c>
      <c r="I2172">
        <v>1</v>
      </c>
      <c r="Q2172" s="1"/>
      <c r="R2172" s="1">
        <v>0.55000000000000004</v>
      </c>
    </row>
    <row r="2173" spans="1:19" ht="15.75" customHeight="1" x14ac:dyDescent="0.25">
      <c r="A2173" s="2">
        <v>5444724</v>
      </c>
      <c r="B2173">
        <v>5444724</v>
      </c>
      <c r="C2173" t="str">
        <f>HYPERLINK("https://ois.dk/map/5444724/sfe", "Link")</f>
        <v>Link</v>
      </c>
      <c r="D2173" t="s">
        <v>3218</v>
      </c>
      <c r="E2173" s="17">
        <v>1.75</v>
      </c>
      <c r="F2173" t="s">
        <v>3219</v>
      </c>
      <c r="G2173">
        <v>0.5</v>
      </c>
      <c r="H2173">
        <v>0.25</v>
      </c>
      <c r="I2173">
        <v>1</v>
      </c>
      <c r="Q2173" s="1"/>
      <c r="R2173" s="1">
        <v>0.64</v>
      </c>
    </row>
    <row r="2174" spans="1:19" ht="15.75" customHeight="1" x14ac:dyDescent="0.25">
      <c r="A2174" s="2">
        <v>5444725</v>
      </c>
      <c r="B2174">
        <v>5444725</v>
      </c>
      <c r="C2174" t="str">
        <f>HYPERLINK("https://ois.dk/map/5444725/sfe", "Link")</f>
        <v>Link</v>
      </c>
      <c r="D2174" t="s">
        <v>3220</v>
      </c>
      <c r="E2174" s="17">
        <v>1.75</v>
      </c>
      <c r="F2174" t="s">
        <v>3221</v>
      </c>
      <c r="G2174">
        <v>0.5</v>
      </c>
      <c r="H2174">
        <v>0.25</v>
      </c>
      <c r="I2174">
        <v>1</v>
      </c>
      <c r="Q2174" s="1"/>
      <c r="R2174" s="1">
        <v>0.86</v>
      </c>
    </row>
    <row r="2175" spans="1:19" ht="15.75" customHeight="1" x14ac:dyDescent="0.25">
      <c r="A2175" s="2">
        <v>5444726</v>
      </c>
      <c r="B2175">
        <v>5444726</v>
      </c>
      <c r="C2175" t="str">
        <f>HYPERLINK("https://ois.dk/map/5444726/sfe", "Link")</f>
        <v>Link</v>
      </c>
      <c r="D2175" t="s">
        <v>3222</v>
      </c>
      <c r="E2175" s="17">
        <v>1.75</v>
      </c>
      <c r="F2175" t="s">
        <v>3223</v>
      </c>
      <c r="G2175">
        <v>0.5</v>
      </c>
      <c r="H2175">
        <v>0.25</v>
      </c>
      <c r="I2175">
        <v>1</v>
      </c>
      <c r="Q2175" s="1"/>
      <c r="R2175" s="1">
        <v>0.75</v>
      </c>
    </row>
    <row r="2176" spans="1:19" ht="15.75" customHeight="1" x14ac:dyDescent="0.25">
      <c r="A2176" s="2">
        <v>5444727</v>
      </c>
      <c r="B2176">
        <v>5444727</v>
      </c>
      <c r="C2176" t="str">
        <f>HYPERLINK("https://ois.dk/map/5444727/sfe", "Link")</f>
        <v>Link</v>
      </c>
      <c r="D2176" t="s">
        <v>3224</v>
      </c>
      <c r="E2176" s="17">
        <v>1.75</v>
      </c>
      <c r="F2176" t="s">
        <v>3225</v>
      </c>
      <c r="G2176">
        <v>0.5</v>
      </c>
      <c r="H2176">
        <v>0.25</v>
      </c>
      <c r="I2176">
        <v>1</v>
      </c>
      <c r="Q2176" s="1"/>
      <c r="R2176" s="1">
        <v>0.72</v>
      </c>
    </row>
    <row r="2177" spans="1:19" ht="15.75" customHeight="1" x14ac:dyDescent="0.25">
      <c r="A2177" s="2">
        <v>5444729</v>
      </c>
      <c r="B2177">
        <v>5444729</v>
      </c>
      <c r="C2177" t="str">
        <f>HYPERLINK("https://ois.dk/map/5444729/sfe", "Link")</f>
        <v>Link</v>
      </c>
      <c r="D2177" t="s">
        <v>3226</v>
      </c>
      <c r="E2177" s="17">
        <v>0.5</v>
      </c>
      <c r="F2177" t="s">
        <v>3227</v>
      </c>
      <c r="G2177">
        <v>0.5</v>
      </c>
      <c r="Q2177" s="1"/>
      <c r="R2177" s="1"/>
    </row>
    <row r="2178" spans="1:19" ht="15.75" customHeight="1" x14ac:dyDescent="0.25">
      <c r="A2178" s="2">
        <v>5444732</v>
      </c>
      <c r="B2178">
        <v>5444732</v>
      </c>
      <c r="C2178" t="str">
        <f>HYPERLINK("https://ois.dk/map/5444732/sfe", "Link")</f>
        <v>Link</v>
      </c>
      <c r="D2178" t="s">
        <v>3228</v>
      </c>
      <c r="E2178" s="17">
        <v>1.75</v>
      </c>
      <c r="F2178" t="s">
        <v>3229</v>
      </c>
      <c r="G2178">
        <v>0.5</v>
      </c>
      <c r="H2178">
        <v>0.25</v>
      </c>
      <c r="I2178">
        <v>1</v>
      </c>
      <c r="Q2178" s="1"/>
      <c r="R2178" s="1">
        <v>2.13</v>
      </c>
    </row>
    <row r="2179" spans="1:19" ht="15.75" customHeight="1" x14ac:dyDescent="0.25">
      <c r="A2179" s="2">
        <v>5444733</v>
      </c>
      <c r="B2179">
        <v>5444733</v>
      </c>
      <c r="C2179" t="str">
        <f>HYPERLINK("https://ois.dk/map/5444733/sfe", "Link")</f>
        <v>Link</v>
      </c>
      <c r="D2179" t="s">
        <v>3230</v>
      </c>
      <c r="E2179" s="17">
        <v>1.05</v>
      </c>
      <c r="F2179" t="s">
        <v>3231</v>
      </c>
      <c r="G2179">
        <v>0.5</v>
      </c>
      <c r="H2179">
        <v>0.25</v>
      </c>
      <c r="J2179">
        <v>0.3</v>
      </c>
      <c r="Q2179" s="1"/>
      <c r="R2179" s="1"/>
      <c r="S2179">
        <v>2.16</v>
      </c>
    </row>
    <row r="2180" spans="1:19" ht="15.75" customHeight="1" x14ac:dyDescent="0.25">
      <c r="A2180" s="2">
        <v>5444740</v>
      </c>
      <c r="B2180">
        <v>5444740</v>
      </c>
      <c r="C2180" t="str">
        <f>HYPERLINK("https://ois.dk/map/5444740/sfe", "Link")</f>
        <v>Link</v>
      </c>
      <c r="D2180" t="s">
        <v>3232</v>
      </c>
      <c r="E2180" s="17">
        <v>0.5</v>
      </c>
      <c r="F2180" t="s">
        <v>3233</v>
      </c>
      <c r="G2180">
        <v>0.5</v>
      </c>
      <c r="Q2180" s="1"/>
      <c r="R2180" s="1"/>
    </row>
    <row r="2181" spans="1:19" ht="15.75" customHeight="1" x14ac:dyDescent="0.25">
      <c r="A2181" s="2">
        <v>5444741</v>
      </c>
      <c r="B2181">
        <v>5444741</v>
      </c>
      <c r="C2181" t="str">
        <f>HYPERLINK("https://ois.dk/map/5444741/sfe", "Link")</f>
        <v>Link</v>
      </c>
      <c r="D2181" t="s">
        <v>3234</v>
      </c>
      <c r="E2181" s="17">
        <v>0.5</v>
      </c>
      <c r="F2181" t="s">
        <v>3235</v>
      </c>
      <c r="G2181">
        <v>0.5</v>
      </c>
      <c r="Q2181" s="1"/>
      <c r="R2181" s="1"/>
    </row>
    <row r="2182" spans="1:19" ht="15.75" customHeight="1" x14ac:dyDescent="0.25">
      <c r="A2182" s="2">
        <v>5444741</v>
      </c>
      <c r="B2182">
        <v>5444741</v>
      </c>
      <c r="C2182" t="str">
        <f>HYPERLINK("https://ois.dk/map/5444741/sfe", "Link")</f>
        <v>Link</v>
      </c>
      <c r="D2182" t="s">
        <v>3234</v>
      </c>
      <c r="E2182" s="17">
        <v>0.5</v>
      </c>
      <c r="F2182" t="s">
        <v>3236</v>
      </c>
      <c r="G2182">
        <v>0.5</v>
      </c>
      <c r="Q2182" s="1"/>
      <c r="R2182" s="1"/>
    </row>
    <row r="2183" spans="1:19" ht="15.75" customHeight="1" x14ac:dyDescent="0.25">
      <c r="A2183" s="2">
        <v>5444742</v>
      </c>
      <c r="B2183">
        <v>5444742</v>
      </c>
      <c r="C2183" t="str">
        <f>HYPERLINK("https://ois.dk/map/5444742/sfe", "Link")</f>
        <v>Link</v>
      </c>
      <c r="D2183" t="s">
        <v>3237</v>
      </c>
      <c r="E2183" s="17">
        <v>0.5</v>
      </c>
      <c r="F2183" t="s">
        <v>3238</v>
      </c>
      <c r="G2183">
        <v>0.5</v>
      </c>
      <c r="Q2183" s="1"/>
      <c r="R2183" s="1"/>
    </row>
    <row r="2184" spans="1:19" ht="15.75" customHeight="1" x14ac:dyDescent="0.25">
      <c r="A2184" s="2">
        <v>5444742</v>
      </c>
      <c r="B2184">
        <v>5444742</v>
      </c>
      <c r="C2184" t="str">
        <f>HYPERLINK("https://ois.dk/map/5444742/sfe", "Link")</f>
        <v>Link</v>
      </c>
      <c r="D2184" t="s">
        <v>3237</v>
      </c>
      <c r="E2184" s="17">
        <v>0.5</v>
      </c>
      <c r="F2184" t="s">
        <v>3239</v>
      </c>
      <c r="G2184">
        <v>0.5</v>
      </c>
      <c r="Q2184" s="1"/>
      <c r="R2184" s="1"/>
    </row>
    <row r="2185" spans="1:19" ht="15.75" customHeight="1" x14ac:dyDescent="0.25">
      <c r="A2185" s="2">
        <v>5444743</v>
      </c>
      <c r="B2185">
        <v>5444743</v>
      </c>
      <c r="C2185" t="str">
        <f>HYPERLINK("https://ois.dk/map/5444743/sfe", "Link")</f>
        <v>Link</v>
      </c>
      <c r="D2185" t="s">
        <v>3240</v>
      </c>
      <c r="E2185" s="17">
        <v>0.5</v>
      </c>
      <c r="F2185" t="s">
        <v>3241</v>
      </c>
      <c r="G2185">
        <v>0.5</v>
      </c>
      <c r="Q2185" s="1"/>
      <c r="R2185" s="1"/>
    </row>
    <row r="2186" spans="1:19" ht="15.75" customHeight="1" x14ac:dyDescent="0.25">
      <c r="A2186" s="2">
        <v>5444744</v>
      </c>
      <c r="B2186">
        <v>5444744</v>
      </c>
      <c r="C2186" t="str">
        <f>HYPERLINK("https://ois.dk/map/5444744/sfe", "Link")</f>
        <v>Link</v>
      </c>
      <c r="D2186" t="s">
        <v>3242</v>
      </c>
      <c r="E2186" s="17">
        <v>0.5</v>
      </c>
      <c r="F2186" t="s">
        <v>3243</v>
      </c>
      <c r="G2186">
        <v>0.5</v>
      </c>
      <c r="Q2186" s="1"/>
      <c r="R2186" s="1"/>
    </row>
    <row r="2187" spans="1:19" ht="15.75" customHeight="1" x14ac:dyDescent="0.25">
      <c r="A2187" s="2">
        <v>5444745</v>
      </c>
      <c r="B2187">
        <v>5444745</v>
      </c>
      <c r="C2187" t="str">
        <f>HYPERLINK("https://ois.dk/map/5444745/sfe", "Link")</f>
        <v>Link</v>
      </c>
      <c r="D2187" t="s">
        <v>3244</v>
      </c>
      <c r="E2187" s="17">
        <v>0.5</v>
      </c>
      <c r="F2187" t="s">
        <v>3245</v>
      </c>
      <c r="G2187">
        <v>0.5</v>
      </c>
      <c r="Q2187" s="1"/>
      <c r="R2187" s="1"/>
    </row>
    <row r="2188" spans="1:19" ht="15.75" customHeight="1" x14ac:dyDescent="0.25">
      <c r="A2188" s="2">
        <v>5444746</v>
      </c>
      <c r="B2188">
        <v>5444746</v>
      </c>
      <c r="C2188" t="str">
        <f>HYPERLINK("https://ois.dk/map/5444746/sfe", "Link")</f>
        <v>Link</v>
      </c>
      <c r="D2188" t="s">
        <v>3246</v>
      </c>
      <c r="E2188" s="17">
        <v>0.5</v>
      </c>
      <c r="F2188" t="s">
        <v>3247</v>
      </c>
      <c r="G2188">
        <v>0.5</v>
      </c>
      <c r="Q2188" s="1"/>
      <c r="R2188" s="1"/>
    </row>
    <row r="2189" spans="1:19" ht="15.75" customHeight="1" x14ac:dyDescent="0.25">
      <c r="A2189" s="2">
        <v>5444746</v>
      </c>
      <c r="B2189">
        <v>5444746</v>
      </c>
      <c r="C2189" t="str">
        <f>HYPERLINK("https://ois.dk/map/5444746/sfe", "Link")</f>
        <v>Link</v>
      </c>
      <c r="D2189" t="s">
        <v>3246</v>
      </c>
      <c r="E2189" s="17">
        <v>0.5</v>
      </c>
      <c r="F2189" t="s">
        <v>3248</v>
      </c>
      <c r="G2189">
        <v>0.5</v>
      </c>
      <c r="Q2189" s="1"/>
      <c r="R2189" s="1"/>
    </row>
    <row r="2190" spans="1:19" ht="15.75" customHeight="1" x14ac:dyDescent="0.25">
      <c r="A2190" s="2">
        <v>5444746</v>
      </c>
      <c r="B2190">
        <v>5444746</v>
      </c>
      <c r="C2190" t="str">
        <f>HYPERLINK("https://ois.dk/map/5444746/sfe", "Link")</f>
        <v>Link</v>
      </c>
      <c r="D2190" t="s">
        <v>3246</v>
      </c>
      <c r="E2190" s="17">
        <v>0.5</v>
      </c>
      <c r="F2190" t="s">
        <v>3249</v>
      </c>
      <c r="G2190">
        <v>0.5</v>
      </c>
      <c r="Q2190" s="1"/>
      <c r="R2190" s="1"/>
    </row>
    <row r="2191" spans="1:19" ht="15.75" customHeight="1" x14ac:dyDescent="0.25">
      <c r="A2191" s="2">
        <v>5444747</v>
      </c>
      <c r="B2191">
        <v>5444747</v>
      </c>
      <c r="C2191" t="str">
        <f>HYPERLINK("https://ois.dk/map/5444747/sfe", "Link")</f>
        <v>Link</v>
      </c>
      <c r="D2191" t="s">
        <v>3250</v>
      </c>
      <c r="E2191" s="17">
        <v>0.5</v>
      </c>
      <c r="F2191" t="s">
        <v>3251</v>
      </c>
      <c r="G2191">
        <v>0.5</v>
      </c>
      <c r="Q2191" s="1"/>
      <c r="R2191" s="1"/>
    </row>
    <row r="2192" spans="1:19" ht="15.75" customHeight="1" x14ac:dyDescent="0.25">
      <c r="A2192" s="2">
        <v>5444748</v>
      </c>
      <c r="B2192">
        <v>5444748</v>
      </c>
      <c r="C2192" t="str">
        <f>HYPERLINK("https://ois.dk/map/5444748/sfe", "Link")</f>
        <v>Link</v>
      </c>
      <c r="D2192" t="s">
        <v>3252</v>
      </c>
      <c r="E2192" s="17">
        <v>0.5</v>
      </c>
      <c r="F2192" t="s">
        <v>3253</v>
      </c>
      <c r="G2192">
        <v>0.5</v>
      </c>
      <c r="Q2192" s="1"/>
      <c r="R2192" s="1"/>
    </row>
    <row r="2193" spans="1:18" ht="15.75" customHeight="1" x14ac:dyDescent="0.25">
      <c r="A2193" s="2">
        <v>5444748</v>
      </c>
      <c r="B2193">
        <v>5444748</v>
      </c>
      <c r="C2193" t="str">
        <f>HYPERLINK("https://ois.dk/map/5444748/sfe", "Link")</f>
        <v>Link</v>
      </c>
      <c r="D2193" t="s">
        <v>3252</v>
      </c>
      <c r="E2193" s="17">
        <v>0.5</v>
      </c>
      <c r="F2193" t="s">
        <v>3254</v>
      </c>
      <c r="G2193">
        <v>0.5</v>
      </c>
      <c r="Q2193" s="1"/>
      <c r="R2193" s="1"/>
    </row>
    <row r="2194" spans="1:18" ht="15.75" customHeight="1" x14ac:dyDescent="0.25">
      <c r="A2194" s="2">
        <v>5444748</v>
      </c>
      <c r="B2194">
        <v>5444748</v>
      </c>
      <c r="C2194" t="str">
        <f>HYPERLINK("https://ois.dk/map/5444748/sfe", "Link")</f>
        <v>Link</v>
      </c>
      <c r="D2194" t="s">
        <v>3252</v>
      </c>
      <c r="E2194" s="17">
        <v>0.5</v>
      </c>
      <c r="F2194" t="s">
        <v>3255</v>
      </c>
      <c r="G2194">
        <v>0.5</v>
      </c>
      <c r="Q2194" s="1"/>
      <c r="R2194" s="1"/>
    </row>
    <row r="2195" spans="1:18" ht="15.75" customHeight="1" x14ac:dyDescent="0.25">
      <c r="A2195" s="2">
        <v>5444749</v>
      </c>
      <c r="B2195">
        <v>5444749</v>
      </c>
      <c r="C2195" t="str">
        <f>HYPERLINK("https://ois.dk/map/5444749/sfe", "Link")</f>
        <v>Link</v>
      </c>
      <c r="D2195" t="s">
        <v>3256</v>
      </c>
      <c r="E2195" s="17">
        <v>0.5</v>
      </c>
      <c r="F2195" t="s">
        <v>3257</v>
      </c>
      <c r="G2195">
        <v>0.5</v>
      </c>
      <c r="Q2195" s="1"/>
      <c r="R2195" s="1"/>
    </row>
    <row r="2196" spans="1:18" ht="15.75" customHeight="1" x14ac:dyDescent="0.25">
      <c r="A2196" s="2">
        <v>5444749</v>
      </c>
      <c r="B2196">
        <v>5444749</v>
      </c>
      <c r="C2196" t="str">
        <f>HYPERLINK("https://ois.dk/map/5444749/sfe", "Link")</f>
        <v>Link</v>
      </c>
      <c r="D2196" t="s">
        <v>3256</v>
      </c>
      <c r="E2196" s="17">
        <v>0.5</v>
      </c>
      <c r="F2196" t="s">
        <v>3258</v>
      </c>
      <c r="G2196">
        <v>0.5</v>
      </c>
      <c r="Q2196" s="1"/>
      <c r="R2196" s="1"/>
    </row>
    <row r="2197" spans="1:18" ht="15.75" customHeight="1" x14ac:dyDescent="0.25">
      <c r="A2197" s="2">
        <v>5444752</v>
      </c>
      <c r="B2197">
        <v>5444752</v>
      </c>
      <c r="C2197" t="str">
        <f>HYPERLINK("https://ois.dk/map/5444752/sfe", "Link")</f>
        <v>Link</v>
      </c>
      <c r="D2197" t="s">
        <v>3259</v>
      </c>
      <c r="E2197" s="17">
        <v>0.5</v>
      </c>
      <c r="F2197" t="s">
        <v>3260</v>
      </c>
      <c r="G2197">
        <v>0.5</v>
      </c>
      <c r="Q2197" s="1"/>
      <c r="R2197" s="1"/>
    </row>
    <row r="2198" spans="1:18" ht="15.75" customHeight="1" x14ac:dyDescent="0.25">
      <c r="A2198" s="2">
        <v>5444753</v>
      </c>
      <c r="B2198">
        <v>5444753</v>
      </c>
      <c r="C2198" t="str">
        <f>HYPERLINK("https://ois.dk/map/5444753/sfe", "Link")</f>
        <v>Link</v>
      </c>
      <c r="D2198" t="s">
        <v>3261</v>
      </c>
      <c r="E2198" s="17">
        <v>0.5</v>
      </c>
      <c r="F2198" t="s">
        <v>3262</v>
      </c>
      <c r="G2198">
        <v>0.5</v>
      </c>
      <c r="Q2198" s="1"/>
      <c r="R2198" s="1"/>
    </row>
    <row r="2199" spans="1:18" ht="15.75" customHeight="1" x14ac:dyDescent="0.25">
      <c r="A2199" s="2">
        <v>5444754</v>
      </c>
      <c r="B2199">
        <v>5444754</v>
      </c>
      <c r="C2199" t="str">
        <f>HYPERLINK("https://ois.dk/map/5444754/sfe", "Link")</f>
        <v>Link</v>
      </c>
      <c r="D2199" t="s">
        <v>3263</v>
      </c>
      <c r="E2199" s="17">
        <v>0.5</v>
      </c>
      <c r="F2199" t="s">
        <v>3264</v>
      </c>
      <c r="G2199">
        <v>0.5</v>
      </c>
      <c r="Q2199" s="1"/>
      <c r="R2199" s="1"/>
    </row>
    <row r="2200" spans="1:18" ht="15.75" customHeight="1" x14ac:dyDescent="0.25">
      <c r="A2200" s="2">
        <v>5444755</v>
      </c>
      <c r="B2200">
        <v>5444755</v>
      </c>
      <c r="C2200" t="str">
        <f>HYPERLINK("https://ois.dk/map/5444755/sfe", "Link")</f>
        <v>Link</v>
      </c>
      <c r="D2200" t="s">
        <v>3265</v>
      </c>
      <c r="E2200" s="17">
        <v>0.5</v>
      </c>
      <c r="F2200" t="s">
        <v>3266</v>
      </c>
      <c r="G2200">
        <v>0.5</v>
      </c>
      <c r="Q2200" s="1"/>
      <c r="R2200" s="1"/>
    </row>
    <row r="2201" spans="1:18" ht="15.75" customHeight="1" x14ac:dyDescent="0.25">
      <c r="A2201" s="2">
        <v>5444756</v>
      </c>
      <c r="B2201">
        <v>5444756</v>
      </c>
      <c r="C2201" t="str">
        <f>HYPERLINK("https://ois.dk/map/5444756/sfe", "Link")</f>
        <v>Link</v>
      </c>
      <c r="D2201" t="s">
        <v>3267</v>
      </c>
      <c r="E2201" s="17">
        <v>0.5</v>
      </c>
      <c r="F2201" t="s">
        <v>3268</v>
      </c>
      <c r="G2201">
        <v>0.5</v>
      </c>
      <c r="Q2201" s="1"/>
      <c r="R2201" s="1"/>
    </row>
    <row r="2202" spans="1:18" ht="15.75" customHeight="1" x14ac:dyDescent="0.25">
      <c r="A2202" s="2">
        <v>5444757</v>
      </c>
      <c r="B2202">
        <v>5444757</v>
      </c>
      <c r="C2202" t="str">
        <f>HYPERLINK("https://ois.dk/map/5444757/sfe", "Link")</f>
        <v>Link</v>
      </c>
      <c r="D2202" t="s">
        <v>3269</v>
      </c>
      <c r="E2202" s="17">
        <v>0.5</v>
      </c>
      <c r="F2202" t="s">
        <v>3270</v>
      </c>
      <c r="G2202">
        <v>0.5</v>
      </c>
      <c r="Q2202" s="1"/>
      <c r="R2202" s="1"/>
    </row>
    <row r="2203" spans="1:18" ht="15.75" customHeight="1" x14ac:dyDescent="0.25">
      <c r="A2203" s="2">
        <v>5444760</v>
      </c>
      <c r="B2203">
        <v>5444760</v>
      </c>
      <c r="C2203" t="str">
        <f>HYPERLINK("https://ois.dk/map/5444760/sfe", "Link")</f>
        <v>Link</v>
      </c>
      <c r="D2203" t="s">
        <v>3271</v>
      </c>
      <c r="E2203" s="17">
        <v>0.5</v>
      </c>
      <c r="F2203" t="s">
        <v>3272</v>
      </c>
      <c r="G2203">
        <v>0.5</v>
      </c>
      <c r="Q2203" s="1"/>
      <c r="R2203" s="1"/>
    </row>
    <row r="2204" spans="1:18" ht="15.75" customHeight="1" x14ac:dyDescent="0.25">
      <c r="A2204" s="2">
        <v>5444761</v>
      </c>
      <c r="B2204">
        <v>5444761</v>
      </c>
      <c r="C2204" t="str">
        <f>HYPERLINK("https://ois.dk/map/5444761/sfe", "Link")</f>
        <v>Link</v>
      </c>
      <c r="D2204" t="s">
        <v>3273</v>
      </c>
      <c r="E2204" s="17">
        <v>0.5</v>
      </c>
      <c r="F2204" t="s">
        <v>3274</v>
      </c>
      <c r="G2204">
        <v>0.5</v>
      </c>
      <c r="Q2204" s="1"/>
      <c r="R2204" s="1"/>
    </row>
    <row r="2205" spans="1:18" ht="15.75" customHeight="1" x14ac:dyDescent="0.25">
      <c r="A2205" s="2">
        <v>5444762</v>
      </c>
      <c r="B2205">
        <v>5444762</v>
      </c>
      <c r="C2205" t="str">
        <f>HYPERLINK("https://ois.dk/map/5444762/sfe", "Link")</f>
        <v>Link</v>
      </c>
      <c r="D2205" t="s">
        <v>3275</v>
      </c>
      <c r="E2205" s="17">
        <v>0.5</v>
      </c>
      <c r="F2205" t="s">
        <v>3276</v>
      </c>
      <c r="G2205">
        <v>0.5</v>
      </c>
      <c r="Q2205" s="1"/>
      <c r="R2205" s="1"/>
    </row>
    <row r="2206" spans="1:18" ht="15.75" customHeight="1" x14ac:dyDescent="0.25">
      <c r="A2206" s="2">
        <v>5444764</v>
      </c>
      <c r="B2206">
        <v>5444764</v>
      </c>
      <c r="C2206" t="str">
        <f>HYPERLINK("https://ois.dk/map/5444764/sfe", "Link")</f>
        <v>Link</v>
      </c>
      <c r="D2206" t="s">
        <v>3277</v>
      </c>
      <c r="E2206" s="17">
        <v>0.5</v>
      </c>
      <c r="F2206" t="s">
        <v>3278</v>
      </c>
      <c r="G2206">
        <v>0.5</v>
      </c>
      <c r="Q2206" s="1"/>
      <c r="R2206" s="1"/>
    </row>
    <row r="2207" spans="1:18" ht="15.75" customHeight="1" x14ac:dyDescent="0.25">
      <c r="A2207" s="2">
        <v>5444778</v>
      </c>
      <c r="B2207">
        <v>5444778</v>
      </c>
      <c r="C2207" t="str">
        <f>HYPERLINK("https://ois.dk/map/5444778/sfe", "Link")</f>
        <v>Link</v>
      </c>
      <c r="D2207" t="s">
        <v>3279</v>
      </c>
      <c r="E2207" s="17">
        <v>1.75</v>
      </c>
      <c r="F2207" t="s">
        <v>3280</v>
      </c>
      <c r="G2207">
        <v>0.5</v>
      </c>
      <c r="H2207">
        <v>0.25</v>
      </c>
      <c r="I2207">
        <v>1</v>
      </c>
      <c r="Q2207" s="1"/>
      <c r="R2207" s="1">
        <v>1.51</v>
      </c>
    </row>
    <row r="2208" spans="1:18" ht="15.75" customHeight="1" x14ac:dyDescent="0.25">
      <c r="A2208" s="2">
        <v>5444784</v>
      </c>
      <c r="B2208">
        <v>5444784</v>
      </c>
      <c r="C2208" t="str">
        <f>HYPERLINK("https://ois.dk/map/5444784/sfe", "Link")</f>
        <v>Link</v>
      </c>
      <c r="D2208" t="s">
        <v>3281</v>
      </c>
      <c r="E2208" s="17">
        <v>0.5</v>
      </c>
      <c r="F2208" t="s">
        <v>3282</v>
      </c>
      <c r="G2208">
        <v>0.5</v>
      </c>
      <c r="Q2208" s="1"/>
      <c r="R2208" s="1"/>
    </row>
    <row r="2209" spans="1:18" ht="15.75" customHeight="1" x14ac:dyDescent="0.25">
      <c r="A2209" s="2">
        <v>5444789</v>
      </c>
      <c r="B2209">
        <v>5444789</v>
      </c>
      <c r="C2209" t="str">
        <f>HYPERLINK("https://ois.dk/map/5444789/sfe", "Link")</f>
        <v>Link</v>
      </c>
      <c r="D2209" t="s">
        <v>3283</v>
      </c>
      <c r="E2209" s="17">
        <v>0.5</v>
      </c>
      <c r="F2209" t="s">
        <v>3284</v>
      </c>
      <c r="G2209">
        <v>0.5</v>
      </c>
      <c r="Q2209" s="1"/>
      <c r="R2209" s="1"/>
    </row>
    <row r="2210" spans="1:18" ht="15.75" customHeight="1" x14ac:dyDescent="0.25">
      <c r="A2210" s="2">
        <v>5444789</v>
      </c>
      <c r="B2210">
        <v>5444789</v>
      </c>
      <c r="C2210" t="str">
        <f>HYPERLINK("https://ois.dk/map/5444789/sfe", "Link")</f>
        <v>Link</v>
      </c>
      <c r="D2210" t="s">
        <v>3283</v>
      </c>
      <c r="E2210" s="17">
        <v>0.5</v>
      </c>
      <c r="F2210" t="s">
        <v>3284</v>
      </c>
      <c r="G2210">
        <v>0.5</v>
      </c>
      <c r="Q2210" s="1"/>
      <c r="R2210" s="1"/>
    </row>
    <row r="2211" spans="1:18" ht="15.75" customHeight="1" x14ac:dyDescent="0.25">
      <c r="A2211" s="2">
        <v>5444790</v>
      </c>
      <c r="B2211">
        <v>5444790</v>
      </c>
      <c r="C2211" t="str">
        <f>HYPERLINK("https://ois.dk/map/5444790/sfe", "Link")</f>
        <v>Link</v>
      </c>
      <c r="D2211" t="s">
        <v>3285</v>
      </c>
      <c r="E2211" s="17">
        <v>0.5</v>
      </c>
      <c r="F2211" t="s">
        <v>3286</v>
      </c>
      <c r="G2211">
        <v>0.5</v>
      </c>
      <c r="Q2211" s="1"/>
      <c r="R2211" s="1"/>
    </row>
    <row r="2212" spans="1:18" ht="15.75" customHeight="1" x14ac:dyDescent="0.25">
      <c r="A2212" s="2">
        <v>5444793</v>
      </c>
      <c r="B2212">
        <v>5444793</v>
      </c>
      <c r="C2212" t="str">
        <f>HYPERLINK("https://ois.dk/map/5444793/sfe", "Link")</f>
        <v>Link</v>
      </c>
      <c r="D2212" t="s">
        <v>3287</v>
      </c>
      <c r="E2212" s="17">
        <v>0.5</v>
      </c>
      <c r="F2212" t="s">
        <v>3288</v>
      </c>
      <c r="G2212">
        <v>0.5</v>
      </c>
      <c r="Q2212" s="1"/>
      <c r="R2212" s="1"/>
    </row>
    <row r="2213" spans="1:18" ht="15.75" customHeight="1" x14ac:dyDescent="0.25">
      <c r="A2213" s="2">
        <v>5444794</v>
      </c>
      <c r="B2213">
        <v>5444794</v>
      </c>
      <c r="C2213" t="str">
        <f>HYPERLINK("https://ois.dk/map/5444794/sfe", "Link")</f>
        <v>Link</v>
      </c>
      <c r="D2213" t="s">
        <v>3289</v>
      </c>
      <c r="E2213" s="17">
        <v>0.5</v>
      </c>
      <c r="F2213" t="s">
        <v>3290</v>
      </c>
      <c r="G2213">
        <v>0.5</v>
      </c>
      <c r="Q2213" s="1"/>
      <c r="R2213" s="1"/>
    </row>
    <row r="2214" spans="1:18" ht="15.75" customHeight="1" x14ac:dyDescent="0.25">
      <c r="A2214" s="2">
        <v>5444812</v>
      </c>
      <c r="B2214">
        <v>5444812</v>
      </c>
      <c r="C2214" t="str">
        <f>HYPERLINK("https://ois.dk/map/5444812/sfe", "Link")</f>
        <v>Link</v>
      </c>
      <c r="D2214" t="s">
        <v>3291</v>
      </c>
      <c r="E2214" s="17">
        <v>1.75</v>
      </c>
      <c r="F2214" t="s">
        <v>3292</v>
      </c>
      <c r="G2214">
        <v>0.5</v>
      </c>
      <c r="H2214">
        <v>0.25</v>
      </c>
      <c r="I2214">
        <v>1</v>
      </c>
      <c r="Q2214" s="1"/>
      <c r="R2214" s="1">
        <v>0.5</v>
      </c>
    </row>
    <row r="2215" spans="1:18" ht="15.75" customHeight="1" x14ac:dyDescent="0.25">
      <c r="A2215" s="2">
        <v>5444813</v>
      </c>
      <c r="B2215">
        <v>5444813</v>
      </c>
      <c r="C2215" t="str">
        <f>HYPERLINK("https://ois.dk/map/5444813/sfe", "Link")</f>
        <v>Link</v>
      </c>
      <c r="D2215" t="s">
        <v>3293</v>
      </c>
      <c r="E2215" s="17">
        <v>0.75</v>
      </c>
      <c r="F2215" t="s">
        <v>3294</v>
      </c>
      <c r="G2215">
        <v>0.5</v>
      </c>
      <c r="H2215">
        <v>0.25</v>
      </c>
      <c r="Q2215" s="1"/>
      <c r="R2215" s="1"/>
    </row>
    <row r="2216" spans="1:18" ht="15.75" customHeight="1" x14ac:dyDescent="0.25">
      <c r="A2216" s="2">
        <v>5444814</v>
      </c>
      <c r="B2216">
        <v>5444814</v>
      </c>
      <c r="C2216" t="str">
        <f>HYPERLINK("https://ois.dk/map/5444814/sfe", "Link")</f>
        <v>Link</v>
      </c>
      <c r="D2216" t="s">
        <v>3295</v>
      </c>
      <c r="E2216" s="17">
        <v>1.75</v>
      </c>
      <c r="F2216" t="s">
        <v>3296</v>
      </c>
      <c r="G2216">
        <v>0.5</v>
      </c>
      <c r="H2216">
        <v>0.25</v>
      </c>
      <c r="I2216">
        <v>1</v>
      </c>
      <c r="Q2216" s="1"/>
      <c r="R2216" s="1">
        <v>1.23</v>
      </c>
    </row>
    <row r="2217" spans="1:18" ht="15.75" customHeight="1" x14ac:dyDescent="0.25">
      <c r="A2217" s="2">
        <v>5444819</v>
      </c>
      <c r="B2217">
        <v>5444819</v>
      </c>
      <c r="C2217" t="str">
        <f>HYPERLINK("https://ois.dk/map/5444819/sfe", "Link")</f>
        <v>Link</v>
      </c>
      <c r="D2217" t="s">
        <v>3297</v>
      </c>
      <c r="E2217" s="17">
        <v>1.75</v>
      </c>
      <c r="F2217" t="s">
        <v>3298</v>
      </c>
      <c r="G2217">
        <v>0.5</v>
      </c>
      <c r="H2217">
        <v>0.25</v>
      </c>
      <c r="I2217">
        <v>1</v>
      </c>
      <c r="Q2217" s="1"/>
      <c r="R2217" s="1">
        <v>2</v>
      </c>
    </row>
    <row r="2218" spans="1:18" ht="15.75" customHeight="1" x14ac:dyDescent="0.25">
      <c r="A2218" s="2">
        <v>5444820</v>
      </c>
      <c r="B2218">
        <v>5444820</v>
      </c>
      <c r="C2218" t="str">
        <f>HYPERLINK("https://ois.dk/map/5444820/sfe", "Link")</f>
        <v>Link</v>
      </c>
      <c r="D2218" t="s">
        <v>3299</v>
      </c>
      <c r="E2218" s="17">
        <v>1.75</v>
      </c>
      <c r="F2218" t="s">
        <v>3300</v>
      </c>
      <c r="G2218">
        <v>0.5</v>
      </c>
      <c r="H2218">
        <v>0.25</v>
      </c>
      <c r="I2218">
        <v>1</v>
      </c>
      <c r="Q2218" s="1"/>
      <c r="R2218" s="1">
        <v>1.28</v>
      </c>
    </row>
    <row r="2219" spans="1:18" ht="15.75" customHeight="1" x14ac:dyDescent="0.25">
      <c r="A2219" s="2">
        <v>5444821</v>
      </c>
      <c r="B2219">
        <v>5444821</v>
      </c>
      <c r="C2219" t="str">
        <f>HYPERLINK("https://ois.dk/map/5444821/sfe", "Link")</f>
        <v>Link</v>
      </c>
      <c r="D2219" t="s">
        <v>3301</v>
      </c>
      <c r="E2219" s="17">
        <v>0.25</v>
      </c>
      <c r="F2219" t="s">
        <v>3302</v>
      </c>
      <c r="H2219">
        <v>0.25</v>
      </c>
      <c r="Q2219" s="1"/>
      <c r="R2219" s="1">
        <v>1.17</v>
      </c>
    </row>
    <row r="2220" spans="1:18" ht="15.75" customHeight="1" x14ac:dyDescent="0.25">
      <c r="A2220" s="2">
        <v>5444821</v>
      </c>
      <c r="B2220">
        <v>5444821</v>
      </c>
      <c r="C2220" t="str">
        <f>HYPERLINK("https://ois.dk/map/5444821/sfe", "Link")</f>
        <v>Link</v>
      </c>
      <c r="D2220" t="s">
        <v>3301</v>
      </c>
      <c r="E2220" s="17">
        <v>1.5</v>
      </c>
      <c r="F2220" t="s">
        <v>3302</v>
      </c>
      <c r="G2220">
        <v>0.5</v>
      </c>
      <c r="I2220">
        <v>1</v>
      </c>
      <c r="Q2220" s="1"/>
      <c r="R2220" s="1">
        <v>1.38</v>
      </c>
    </row>
    <row r="2221" spans="1:18" ht="15.75" customHeight="1" x14ac:dyDescent="0.25">
      <c r="A2221" s="2">
        <v>5444821</v>
      </c>
      <c r="B2221">
        <v>5444821</v>
      </c>
      <c r="C2221" t="str">
        <f>HYPERLINK("https://ois.dk/map/5444821/sfe", "Link")</f>
        <v>Link</v>
      </c>
      <c r="D2221" t="s">
        <v>3301</v>
      </c>
      <c r="E2221" s="17">
        <v>1.5</v>
      </c>
      <c r="F2221" t="s">
        <v>3302</v>
      </c>
      <c r="G2221">
        <v>0.5</v>
      </c>
      <c r="I2221">
        <v>1</v>
      </c>
      <c r="Q2221" s="1"/>
      <c r="R2221" s="1">
        <v>1.17</v>
      </c>
    </row>
    <row r="2222" spans="1:18" ht="15.75" customHeight="1" x14ac:dyDescent="0.25">
      <c r="A2222" s="2">
        <v>5444822</v>
      </c>
      <c r="B2222">
        <v>5444822</v>
      </c>
      <c r="C2222" t="str">
        <f>HYPERLINK("https://ois.dk/map/5444822/sfe", "Link")</f>
        <v>Link</v>
      </c>
      <c r="D2222" t="s">
        <v>3303</v>
      </c>
      <c r="E2222" s="17">
        <v>1.75</v>
      </c>
      <c r="F2222" t="s">
        <v>3304</v>
      </c>
      <c r="G2222">
        <v>0.5</v>
      </c>
      <c r="H2222">
        <v>0.25</v>
      </c>
      <c r="I2222">
        <v>1</v>
      </c>
      <c r="Q2222" s="1"/>
      <c r="R2222" s="1">
        <v>2.13</v>
      </c>
    </row>
    <row r="2223" spans="1:18" ht="15.75" customHeight="1" x14ac:dyDescent="0.25">
      <c r="A2223" s="2">
        <v>5444824</v>
      </c>
      <c r="B2223">
        <v>5444824</v>
      </c>
      <c r="C2223" t="str">
        <f>HYPERLINK("https://ois.dk/map/5444824/sfe", "Link")</f>
        <v>Link</v>
      </c>
      <c r="D2223" t="s">
        <v>3305</v>
      </c>
      <c r="E2223" s="17">
        <v>0.75</v>
      </c>
      <c r="F2223" t="s">
        <v>3306</v>
      </c>
      <c r="G2223">
        <v>0.5</v>
      </c>
      <c r="H2223">
        <v>0.25</v>
      </c>
      <c r="Q2223" s="1"/>
      <c r="R2223" s="1"/>
    </row>
    <row r="2224" spans="1:18" ht="15.75" customHeight="1" x14ac:dyDescent="0.25">
      <c r="A2224" s="2">
        <v>5444825</v>
      </c>
      <c r="B2224">
        <v>5444825</v>
      </c>
      <c r="C2224" t="str">
        <f>HYPERLINK("https://ois.dk/map/5444825/sfe", "Link")</f>
        <v>Link</v>
      </c>
      <c r="D2224" t="s">
        <v>3307</v>
      </c>
      <c r="E2224" s="17">
        <v>1.25</v>
      </c>
      <c r="F2224" t="s">
        <v>3308</v>
      </c>
      <c r="H2224">
        <v>0.25</v>
      </c>
      <c r="I2224">
        <v>1</v>
      </c>
      <c r="Q2224" s="1"/>
      <c r="R2224" s="1">
        <v>1.98</v>
      </c>
    </row>
    <row r="2225" spans="1:19" ht="15.75" customHeight="1" x14ac:dyDescent="0.25">
      <c r="A2225" s="2">
        <v>5444825</v>
      </c>
      <c r="B2225">
        <v>5444825</v>
      </c>
      <c r="C2225" t="str">
        <f>HYPERLINK("https://ois.dk/map/5444825/sfe", "Link")</f>
        <v>Link</v>
      </c>
      <c r="D2225" t="s">
        <v>3307</v>
      </c>
      <c r="E2225" s="17">
        <v>0.5</v>
      </c>
      <c r="F2225" t="s">
        <v>3308</v>
      </c>
      <c r="G2225">
        <v>0.5</v>
      </c>
      <c r="Q2225" s="1"/>
      <c r="R2225" s="1"/>
    </row>
    <row r="2226" spans="1:19" ht="15.75" customHeight="1" x14ac:dyDescent="0.25">
      <c r="A2226" s="2">
        <v>5444825</v>
      </c>
      <c r="B2226">
        <v>5444825</v>
      </c>
      <c r="C2226" t="str">
        <f>HYPERLINK("https://ois.dk/map/5444825/sfe", "Link")</f>
        <v>Link</v>
      </c>
      <c r="D2226" t="s">
        <v>3307</v>
      </c>
      <c r="E2226" s="17">
        <v>0.5</v>
      </c>
      <c r="F2226" t="s">
        <v>3309</v>
      </c>
      <c r="G2226">
        <v>0.5</v>
      </c>
      <c r="Q2226" s="1"/>
      <c r="R2226" s="1"/>
    </row>
    <row r="2227" spans="1:19" ht="15.75" customHeight="1" x14ac:dyDescent="0.25">
      <c r="A2227" s="2">
        <v>5444826</v>
      </c>
      <c r="B2227">
        <v>5444826</v>
      </c>
      <c r="C2227" t="str">
        <f>HYPERLINK("https://ois.dk/map/5444826/sfe", "Link")</f>
        <v>Link</v>
      </c>
      <c r="D2227" t="s">
        <v>3310</v>
      </c>
      <c r="E2227" s="17">
        <v>1.75</v>
      </c>
      <c r="F2227" t="s">
        <v>3311</v>
      </c>
      <c r="G2227">
        <v>0.5</v>
      </c>
      <c r="H2227">
        <v>0.25</v>
      </c>
      <c r="I2227">
        <v>1</v>
      </c>
      <c r="Q2227" s="1"/>
      <c r="R2227" s="1">
        <v>1.94</v>
      </c>
    </row>
    <row r="2228" spans="1:19" ht="15.75" customHeight="1" x14ac:dyDescent="0.25">
      <c r="A2228" s="2">
        <v>5444827</v>
      </c>
      <c r="B2228">
        <v>5444827</v>
      </c>
      <c r="C2228" t="str">
        <f>HYPERLINK("https://ois.dk/map/5444827/sfe", "Link")</f>
        <v>Link</v>
      </c>
      <c r="D2228" t="s">
        <v>3312</v>
      </c>
      <c r="E2228" s="17">
        <v>1.75</v>
      </c>
      <c r="F2228" t="s">
        <v>3313</v>
      </c>
      <c r="G2228">
        <v>0.5</v>
      </c>
      <c r="H2228">
        <v>0.25</v>
      </c>
      <c r="I2228">
        <v>1</v>
      </c>
      <c r="Q2228" s="1"/>
      <c r="R2228" s="1">
        <v>2.11</v>
      </c>
    </row>
    <row r="2229" spans="1:19" ht="15.75" customHeight="1" x14ac:dyDescent="0.25">
      <c r="A2229" s="2">
        <v>5444829</v>
      </c>
      <c r="B2229">
        <v>5444829</v>
      </c>
      <c r="C2229" t="str">
        <f>HYPERLINK("https://ois.dk/map/5444829/sfe", "Link")</f>
        <v>Link</v>
      </c>
      <c r="D2229" t="s">
        <v>3314</v>
      </c>
      <c r="E2229" s="17">
        <v>1.05</v>
      </c>
      <c r="F2229" t="s">
        <v>3315</v>
      </c>
      <c r="G2229">
        <v>0.5</v>
      </c>
      <c r="H2229">
        <v>0.25</v>
      </c>
      <c r="J2229">
        <v>0.3</v>
      </c>
      <c r="Q2229" s="1"/>
      <c r="R2229" s="1"/>
      <c r="S2229">
        <v>1.36</v>
      </c>
    </row>
    <row r="2230" spans="1:19" ht="15.75" customHeight="1" x14ac:dyDescent="0.25">
      <c r="A2230" s="2">
        <v>5444832</v>
      </c>
      <c r="B2230">
        <v>5444832</v>
      </c>
      <c r="C2230" t="str">
        <f>HYPERLINK("https://ois.dk/map/5444832/sfe", "Link")</f>
        <v>Link</v>
      </c>
      <c r="D2230" t="s">
        <v>3316</v>
      </c>
      <c r="E2230" s="17">
        <v>1.75</v>
      </c>
      <c r="F2230" t="s">
        <v>3317</v>
      </c>
      <c r="G2230">
        <v>0.5</v>
      </c>
      <c r="H2230">
        <v>0.25</v>
      </c>
      <c r="I2230">
        <v>1</v>
      </c>
      <c r="Q2230" s="1"/>
      <c r="R2230" s="1">
        <v>1.51</v>
      </c>
    </row>
    <row r="2231" spans="1:19" ht="15.75" customHeight="1" x14ac:dyDescent="0.25">
      <c r="A2231" s="2">
        <v>5444833</v>
      </c>
      <c r="B2231">
        <v>5444833</v>
      </c>
      <c r="C2231" t="str">
        <f>HYPERLINK("https://ois.dk/map/5444833/sfe", "Link")</f>
        <v>Link</v>
      </c>
      <c r="D2231" t="s">
        <v>3318</v>
      </c>
      <c r="E2231" s="17">
        <v>1.75</v>
      </c>
      <c r="F2231" t="s">
        <v>3319</v>
      </c>
      <c r="G2231">
        <v>0.5</v>
      </c>
      <c r="H2231">
        <v>0.25</v>
      </c>
      <c r="I2231">
        <v>1</v>
      </c>
      <c r="Q2231" s="1"/>
      <c r="R2231" s="1">
        <v>1.1200000000000001</v>
      </c>
    </row>
    <row r="2232" spans="1:19" ht="15.75" customHeight="1" x14ac:dyDescent="0.25">
      <c r="A2232" s="2">
        <v>5444834</v>
      </c>
      <c r="B2232">
        <v>5444834</v>
      </c>
      <c r="C2232" t="str">
        <f>HYPERLINK("https://ois.dk/map/5444834/sfe", "Link")</f>
        <v>Link</v>
      </c>
      <c r="D2232" t="s">
        <v>3320</v>
      </c>
      <c r="E2232" s="17">
        <v>1.75</v>
      </c>
      <c r="F2232" t="s">
        <v>3321</v>
      </c>
      <c r="G2232">
        <v>0.5</v>
      </c>
      <c r="H2232">
        <v>0.25</v>
      </c>
      <c r="I2232">
        <v>1</v>
      </c>
      <c r="Q2232" s="1"/>
      <c r="R2232" s="1">
        <v>2.0099999999999998</v>
      </c>
    </row>
    <row r="2233" spans="1:19" ht="15.75" customHeight="1" x14ac:dyDescent="0.25">
      <c r="A2233" s="2">
        <v>5444835</v>
      </c>
      <c r="B2233">
        <v>5444835</v>
      </c>
      <c r="C2233" t="str">
        <f>HYPERLINK("https://ois.dk/map/5444835/sfe", "Link")</f>
        <v>Link</v>
      </c>
      <c r="D2233" t="s">
        <v>3322</v>
      </c>
      <c r="E2233" s="17">
        <v>1.75</v>
      </c>
      <c r="F2233" t="s">
        <v>3323</v>
      </c>
      <c r="G2233">
        <v>0.5</v>
      </c>
      <c r="H2233">
        <v>0.25</v>
      </c>
      <c r="I2233">
        <v>1</v>
      </c>
      <c r="Q2233" s="1"/>
      <c r="R2233" s="1">
        <v>1.5</v>
      </c>
    </row>
    <row r="2234" spans="1:19" ht="15.75" customHeight="1" x14ac:dyDescent="0.25">
      <c r="A2234" s="2">
        <v>5444836</v>
      </c>
      <c r="B2234">
        <v>5444836</v>
      </c>
      <c r="C2234" t="str">
        <f>HYPERLINK("https://ois.dk/map/5444836/sfe", "Link")</f>
        <v>Link</v>
      </c>
      <c r="D2234" t="s">
        <v>3324</v>
      </c>
      <c r="E2234" s="17">
        <v>1.75</v>
      </c>
      <c r="F2234" t="s">
        <v>3325</v>
      </c>
      <c r="G2234">
        <v>0.5</v>
      </c>
      <c r="H2234">
        <v>0.25</v>
      </c>
      <c r="I2234">
        <v>1</v>
      </c>
      <c r="Q2234" s="1"/>
      <c r="R2234" s="1">
        <v>1.1399999999999999</v>
      </c>
    </row>
    <row r="2235" spans="1:19" ht="15.75" customHeight="1" x14ac:dyDescent="0.25">
      <c r="A2235" s="2">
        <v>5444837</v>
      </c>
      <c r="B2235">
        <v>5444837</v>
      </c>
      <c r="C2235" t="str">
        <f>HYPERLINK("https://ois.dk/map/5444837/sfe", "Link")</f>
        <v>Link</v>
      </c>
      <c r="D2235" t="s">
        <v>3326</v>
      </c>
      <c r="E2235" s="17">
        <v>2.0499999999999998</v>
      </c>
      <c r="F2235" t="s">
        <v>3327</v>
      </c>
      <c r="G2235">
        <v>0.5</v>
      </c>
      <c r="H2235">
        <v>0.25</v>
      </c>
      <c r="I2235">
        <v>1</v>
      </c>
      <c r="J2235">
        <v>0.3</v>
      </c>
      <c r="Q2235" s="1"/>
      <c r="R2235" s="1">
        <v>2.16</v>
      </c>
      <c r="S2235">
        <v>1.0900000000000001</v>
      </c>
    </row>
    <row r="2236" spans="1:19" ht="15.75" customHeight="1" x14ac:dyDescent="0.25">
      <c r="A2236" s="2">
        <v>5444838</v>
      </c>
      <c r="B2236">
        <v>5444838</v>
      </c>
      <c r="C2236" t="str">
        <f>HYPERLINK("https://ois.dk/map/5444838/sfe", "Link")</f>
        <v>Link</v>
      </c>
      <c r="D2236" t="s">
        <v>3328</v>
      </c>
      <c r="E2236" s="17">
        <v>0.75</v>
      </c>
      <c r="F2236" t="s">
        <v>3329</v>
      </c>
      <c r="G2236">
        <v>0.5</v>
      </c>
      <c r="H2236">
        <v>0.25</v>
      </c>
      <c r="Q2236" s="1"/>
      <c r="R2236" s="1"/>
    </row>
    <row r="2237" spans="1:19" ht="15.75" customHeight="1" x14ac:dyDescent="0.25">
      <c r="A2237" s="2">
        <v>5444839</v>
      </c>
      <c r="B2237">
        <v>5444839</v>
      </c>
      <c r="C2237" t="str">
        <f>HYPERLINK("https://ois.dk/map/5444839/sfe", "Link")</f>
        <v>Link</v>
      </c>
      <c r="D2237" t="s">
        <v>3330</v>
      </c>
      <c r="E2237" s="17">
        <v>2.0499999999999998</v>
      </c>
      <c r="F2237" t="s">
        <v>3331</v>
      </c>
      <c r="G2237">
        <v>0.5</v>
      </c>
      <c r="H2237">
        <v>0.25</v>
      </c>
      <c r="I2237">
        <v>1</v>
      </c>
      <c r="J2237">
        <v>0.3</v>
      </c>
      <c r="Q2237" s="1"/>
      <c r="R2237" s="1">
        <v>2.13</v>
      </c>
      <c r="S2237">
        <v>1.44</v>
      </c>
    </row>
    <row r="2238" spans="1:19" ht="15.75" customHeight="1" x14ac:dyDescent="0.25">
      <c r="A2238" s="2">
        <v>5444841</v>
      </c>
      <c r="B2238">
        <v>5444841</v>
      </c>
      <c r="C2238" t="str">
        <f t="shared" ref="C2238:C2247" si="56">HYPERLINK("https://ois.dk/map/5444841/sfe", "Link")</f>
        <v>Link</v>
      </c>
      <c r="D2238" t="s">
        <v>3332</v>
      </c>
      <c r="E2238" s="17">
        <v>0.25</v>
      </c>
      <c r="F2238" t="s">
        <v>3333</v>
      </c>
      <c r="H2238">
        <v>0.25</v>
      </c>
      <c r="Q2238" s="1"/>
      <c r="R2238" s="1">
        <v>1.78</v>
      </c>
    </row>
    <row r="2239" spans="1:19" ht="15.75" customHeight="1" x14ac:dyDescent="0.25">
      <c r="A2239" s="2">
        <v>5444841</v>
      </c>
      <c r="B2239">
        <v>5444841</v>
      </c>
      <c r="C2239" t="str">
        <f t="shared" si="56"/>
        <v>Link</v>
      </c>
      <c r="D2239" t="s">
        <v>3332</v>
      </c>
      <c r="E2239" s="17">
        <v>0.5</v>
      </c>
      <c r="F2239" t="s">
        <v>3333</v>
      </c>
      <c r="G2239">
        <v>0.5</v>
      </c>
      <c r="Q2239" s="1"/>
      <c r="R2239" s="1"/>
    </row>
    <row r="2240" spans="1:19" ht="15.75" customHeight="1" x14ac:dyDescent="0.25">
      <c r="A2240" s="2">
        <v>5444841</v>
      </c>
      <c r="B2240">
        <v>5444841</v>
      </c>
      <c r="C2240" t="str">
        <f t="shared" si="56"/>
        <v>Link</v>
      </c>
      <c r="D2240" t="s">
        <v>3332</v>
      </c>
      <c r="E2240" s="17">
        <v>0.5</v>
      </c>
      <c r="F2240" t="s">
        <v>3334</v>
      </c>
      <c r="G2240">
        <v>0.5</v>
      </c>
      <c r="Q2240" s="1"/>
      <c r="R2240" s="1"/>
    </row>
    <row r="2241" spans="1:19" ht="15.75" customHeight="1" x14ac:dyDescent="0.25">
      <c r="A2241" s="2">
        <v>5444841</v>
      </c>
      <c r="B2241">
        <v>5444841</v>
      </c>
      <c r="C2241" t="str">
        <f t="shared" si="56"/>
        <v>Link</v>
      </c>
      <c r="D2241" t="s">
        <v>3332</v>
      </c>
      <c r="E2241" s="17">
        <v>0.5</v>
      </c>
      <c r="F2241" t="s">
        <v>3335</v>
      </c>
      <c r="G2241">
        <v>0.5</v>
      </c>
      <c r="Q2241" s="1"/>
      <c r="R2241" s="1"/>
    </row>
    <row r="2242" spans="1:19" ht="15.75" customHeight="1" x14ac:dyDescent="0.25">
      <c r="A2242" s="2">
        <v>5444841</v>
      </c>
      <c r="B2242">
        <v>5444841</v>
      </c>
      <c r="C2242" t="str">
        <f t="shared" si="56"/>
        <v>Link</v>
      </c>
      <c r="D2242" t="s">
        <v>3332</v>
      </c>
      <c r="E2242" s="17">
        <v>1.5</v>
      </c>
      <c r="F2242" t="s">
        <v>3336</v>
      </c>
      <c r="G2242">
        <v>0.5</v>
      </c>
      <c r="I2242">
        <v>1</v>
      </c>
      <c r="Q2242" s="1"/>
      <c r="R2242" s="1">
        <v>2.0699999999999998</v>
      </c>
    </row>
    <row r="2243" spans="1:19" ht="15.75" customHeight="1" x14ac:dyDescent="0.25">
      <c r="A2243" s="2">
        <v>5444841</v>
      </c>
      <c r="B2243">
        <v>5444841</v>
      </c>
      <c r="C2243" t="str">
        <f t="shared" si="56"/>
        <v>Link</v>
      </c>
      <c r="D2243" t="s">
        <v>3332</v>
      </c>
      <c r="E2243" s="17">
        <v>1.5</v>
      </c>
      <c r="F2243" t="s">
        <v>3337</v>
      </c>
      <c r="G2243">
        <v>0.5</v>
      </c>
      <c r="I2243">
        <v>1</v>
      </c>
      <c r="Q2243" s="1"/>
      <c r="R2243" s="1">
        <v>2.0699999999999998</v>
      </c>
    </row>
    <row r="2244" spans="1:19" ht="15.75" customHeight="1" x14ac:dyDescent="0.25">
      <c r="A2244" s="2">
        <v>5444841</v>
      </c>
      <c r="B2244">
        <v>5444841</v>
      </c>
      <c r="C2244" t="str">
        <f t="shared" si="56"/>
        <v>Link</v>
      </c>
      <c r="D2244" t="s">
        <v>3332</v>
      </c>
      <c r="E2244" s="17">
        <v>1.5</v>
      </c>
      <c r="F2244" t="s">
        <v>3338</v>
      </c>
      <c r="G2244">
        <v>0.5</v>
      </c>
      <c r="I2244">
        <v>1</v>
      </c>
      <c r="Q2244" s="1"/>
      <c r="R2244" s="1">
        <v>2.0699999999999998</v>
      </c>
    </row>
    <row r="2245" spans="1:19" ht="15.75" customHeight="1" x14ac:dyDescent="0.25">
      <c r="A2245" s="2">
        <v>5444841</v>
      </c>
      <c r="B2245">
        <v>5444841</v>
      </c>
      <c r="C2245" t="str">
        <f t="shared" si="56"/>
        <v>Link</v>
      </c>
      <c r="D2245" t="s">
        <v>3332</v>
      </c>
      <c r="E2245" s="17">
        <v>1.5</v>
      </c>
      <c r="F2245" t="s">
        <v>3339</v>
      </c>
      <c r="G2245">
        <v>0.5</v>
      </c>
      <c r="I2245">
        <v>1</v>
      </c>
      <c r="Q2245" s="1"/>
      <c r="R2245" s="1">
        <v>1.78</v>
      </c>
    </row>
    <row r="2246" spans="1:19" ht="15.75" customHeight="1" x14ac:dyDescent="0.25">
      <c r="A2246" s="2">
        <v>5444841</v>
      </c>
      <c r="B2246">
        <v>5444841</v>
      </c>
      <c r="C2246" t="str">
        <f t="shared" si="56"/>
        <v>Link</v>
      </c>
      <c r="D2246" t="s">
        <v>3332</v>
      </c>
      <c r="E2246" s="17">
        <v>1.5</v>
      </c>
      <c r="F2246" t="s">
        <v>3340</v>
      </c>
      <c r="G2246">
        <v>0.5</v>
      </c>
      <c r="I2246">
        <v>1</v>
      </c>
      <c r="Q2246" s="1"/>
      <c r="R2246" s="1">
        <v>1.78</v>
      </c>
    </row>
    <row r="2247" spans="1:19" ht="15.75" customHeight="1" x14ac:dyDescent="0.25">
      <c r="A2247" s="2">
        <v>5444841</v>
      </c>
      <c r="B2247">
        <v>5444841</v>
      </c>
      <c r="C2247" t="str">
        <f t="shared" si="56"/>
        <v>Link</v>
      </c>
      <c r="D2247" t="s">
        <v>3332</v>
      </c>
      <c r="E2247" s="17">
        <v>1.5</v>
      </c>
      <c r="F2247" t="s">
        <v>3341</v>
      </c>
      <c r="G2247">
        <v>0.5</v>
      </c>
      <c r="I2247">
        <v>1</v>
      </c>
      <c r="Q2247" s="1"/>
      <c r="R2247" s="1">
        <v>1.78</v>
      </c>
    </row>
    <row r="2248" spans="1:19" ht="15.75" customHeight="1" x14ac:dyDescent="0.25">
      <c r="A2248" s="2">
        <v>5444842</v>
      </c>
      <c r="B2248">
        <v>5444842</v>
      </c>
      <c r="C2248" t="str">
        <f>HYPERLINK("https://ois.dk/map/5444842/sfe", "Link")</f>
        <v>Link</v>
      </c>
      <c r="D2248" t="s">
        <v>3342</v>
      </c>
      <c r="E2248" s="17">
        <v>0.75</v>
      </c>
      <c r="F2248" t="s">
        <v>3343</v>
      </c>
      <c r="G2248">
        <v>0.5</v>
      </c>
      <c r="H2248">
        <v>0.25</v>
      </c>
      <c r="Q2248" s="1"/>
      <c r="R2248" s="1"/>
    </row>
    <row r="2249" spans="1:19" ht="15.75" customHeight="1" x14ac:dyDescent="0.25">
      <c r="A2249" s="2">
        <v>5444843</v>
      </c>
      <c r="B2249">
        <v>5444843</v>
      </c>
      <c r="C2249" t="str">
        <f>HYPERLINK("https://ois.dk/map/5444843/sfe", "Link")</f>
        <v>Link</v>
      </c>
      <c r="D2249" t="s">
        <v>3344</v>
      </c>
      <c r="E2249" s="17">
        <v>0.75</v>
      </c>
      <c r="F2249" t="s">
        <v>3325</v>
      </c>
      <c r="G2249">
        <v>0.5</v>
      </c>
      <c r="H2249">
        <v>0.25</v>
      </c>
      <c r="Q2249" s="1"/>
      <c r="R2249" s="1"/>
    </row>
    <row r="2250" spans="1:19" ht="15.75" customHeight="1" x14ac:dyDescent="0.25">
      <c r="A2250" s="2">
        <v>5444844</v>
      </c>
      <c r="B2250">
        <v>5444844</v>
      </c>
      <c r="C2250" t="str">
        <f>HYPERLINK("https://ois.dk/map/5444844/sfe", "Link")</f>
        <v>Link</v>
      </c>
      <c r="D2250" t="s">
        <v>3345</v>
      </c>
      <c r="E2250" s="17">
        <v>0.75</v>
      </c>
      <c r="F2250" t="s">
        <v>3327</v>
      </c>
      <c r="G2250">
        <v>0.5</v>
      </c>
      <c r="H2250">
        <v>0.25</v>
      </c>
      <c r="Q2250" s="1"/>
      <c r="R2250" s="1"/>
    </row>
    <row r="2251" spans="1:19" ht="15.75" customHeight="1" x14ac:dyDescent="0.25">
      <c r="A2251" s="2">
        <v>5444845</v>
      </c>
      <c r="B2251">
        <v>5444845</v>
      </c>
      <c r="C2251" t="str">
        <f>HYPERLINK("https://ois.dk/map/5444845/sfe", "Link")</f>
        <v>Link</v>
      </c>
      <c r="D2251" t="s">
        <v>3346</v>
      </c>
      <c r="E2251" s="17">
        <v>0.75</v>
      </c>
      <c r="G2251">
        <v>0.5</v>
      </c>
      <c r="H2251">
        <v>0.25</v>
      </c>
      <c r="Q2251" s="1"/>
      <c r="R2251" s="1"/>
    </row>
    <row r="2252" spans="1:19" ht="15.75" customHeight="1" x14ac:dyDescent="0.25">
      <c r="A2252" s="2">
        <v>5444846</v>
      </c>
      <c r="B2252">
        <v>5444846</v>
      </c>
      <c r="C2252" t="str">
        <f>HYPERLINK("https://ois.dk/map/5444846/sfe", "Link")</f>
        <v>Link</v>
      </c>
      <c r="D2252" t="s">
        <v>3347</v>
      </c>
      <c r="E2252" s="17">
        <v>2.0499999999999998</v>
      </c>
      <c r="F2252" t="s">
        <v>3348</v>
      </c>
      <c r="G2252">
        <v>0.5</v>
      </c>
      <c r="H2252">
        <v>0.25</v>
      </c>
      <c r="I2252">
        <v>1</v>
      </c>
      <c r="J2252">
        <v>0.3</v>
      </c>
      <c r="Q2252" s="1"/>
      <c r="R2252" s="1">
        <v>1.89</v>
      </c>
      <c r="S2252">
        <v>1.58</v>
      </c>
    </row>
    <row r="2253" spans="1:19" ht="15.75" customHeight="1" x14ac:dyDescent="0.25">
      <c r="A2253" s="2">
        <v>5444861</v>
      </c>
      <c r="B2253">
        <v>5444861</v>
      </c>
      <c r="C2253" t="str">
        <f>HYPERLINK("https://ois.dk/map/5444861/sfe", "Link")</f>
        <v>Link</v>
      </c>
      <c r="D2253" t="s">
        <v>953</v>
      </c>
      <c r="E2253" s="17">
        <v>1.75</v>
      </c>
      <c r="F2253" t="s">
        <v>3349</v>
      </c>
      <c r="G2253">
        <v>0.5</v>
      </c>
      <c r="H2253">
        <v>0.25</v>
      </c>
      <c r="I2253">
        <v>1</v>
      </c>
      <c r="Q2253" s="1"/>
      <c r="R2253" s="1">
        <v>1.17</v>
      </c>
    </row>
    <row r="2254" spans="1:19" ht="15.75" customHeight="1" x14ac:dyDescent="0.25">
      <c r="A2254" s="2">
        <v>5444862</v>
      </c>
      <c r="B2254">
        <v>5444862</v>
      </c>
      <c r="C2254" t="str">
        <f t="shared" ref="C2254:C2278" si="57">HYPERLINK("https://ois.dk/map/5444862/sfe", "Link")</f>
        <v>Link</v>
      </c>
      <c r="D2254" t="s">
        <v>961</v>
      </c>
      <c r="E2254" s="17">
        <v>0.25</v>
      </c>
      <c r="F2254" t="s">
        <v>3350</v>
      </c>
      <c r="H2254">
        <v>0.25</v>
      </c>
      <c r="Q2254" s="1"/>
      <c r="R2254" s="1">
        <v>-0.14000000000000001</v>
      </c>
    </row>
    <row r="2255" spans="1:19" ht="15.75" customHeight="1" x14ac:dyDescent="0.25">
      <c r="A2255" s="2">
        <v>5444862</v>
      </c>
      <c r="B2255">
        <v>5444862</v>
      </c>
      <c r="C2255" t="str">
        <f t="shared" si="57"/>
        <v>Link</v>
      </c>
      <c r="D2255" t="s">
        <v>961</v>
      </c>
      <c r="E2255" s="17">
        <v>1.5</v>
      </c>
      <c r="F2255" t="s">
        <v>3350</v>
      </c>
      <c r="G2255">
        <v>0.5</v>
      </c>
      <c r="I2255">
        <v>1</v>
      </c>
      <c r="Q2255" s="1"/>
      <c r="R2255" s="1">
        <v>0.05</v>
      </c>
    </row>
    <row r="2256" spans="1:19" ht="15.75" customHeight="1" x14ac:dyDescent="0.25">
      <c r="A2256" s="2">
        <v>5444862</v>
      </c>
      <c r="B2256">
        <v>5444862</v>
      </c>
      <c r="C2256" t="str">
        <f t="shared" si="57"/>
        <v>Link</v>
      </c>
      <c r="D2256" t="s">
        <v>961</v>
      </c>
      <c r="E2256" s="17">
        <v>1.5</v>
      </c>
      <c r="F2256" t="s">
        <v>3350</v>
      </c>
      <c r="G2256">
        <v>0.5</v>
      </c>
      <c r="I2256">
        <v>1</v>
      </c>
      <c r="Q2256" s="1"/>
      <c r="R2256" s="1">
        <v>-0.08</v>
      </c>
    </row>
    <row r="2257" spans="1:18" ht="15.75" customHeight="1" x14ac:dyDescent="0.25">
      <c r="A2257" s="2">
        <v>5444862</v>
      </c>
      <c r="B2257">
        <v>5444862</v>
      </c>
      <c r="C2257" t="str">
        <f t="shared" si="57"/>
        <v>Link</v>
      </c>
      <c r="D2257" t="s">
        <v>961</v>
      </c>
      <c r="E2257" s="17">
        <v>1.5</v>
      </c>
      <c r="F2257" t="s">
        <v>3350</v>
      </c>
      <c r="G2257">
        <v>0.5</v>
      </c>
      <c r="I2257">
        <v>1</v>
      </c>
      <c r="Q2257" s="1"/>
      <c r="R2257" s="1">
        <v>-0.11</v>
      </c>
    </row>
    <row r="2258" spans="1:18" ht="15.75" customHeight="1" x14ac:dyDescent="0.25">
      <c r="A2258" s="2">
        <v>5444862</v>
      </c>
      <c r="B2258">
        <v>5444862</v>
      </c>
      <c r="C2258" t="str">
        <f t="shared" si="57"/>
        <v>Link</v>
      </c>
      <c r="D2258" t="s">
        <v>961</v>
      </c>
      <c r="E2258" s="17">
        <v>1.5</v>
      </c>
      <c r="F2258" t="s">
        <v>3350</v>
      </c>
      <c r="G2258">
        <v>0.5</v>
      </c>
      <c r="I2258">
        <v>1</v>
      </c>
      <c r="Q2258" s="1"/>
      <c r="R2258" s="1">
        <v>-0.09</v>
      </c>
    </row>
    <row r="2259" spans="1:18" ht="15.75" customHeight="1" x14ac:dyDescent="0.25">
      <c r="A2259" s="2">
        <v>5444862</v>
      </c>
      <c r="B2259">
        <v>5444862</v>
      </c>
      <c r="C2259" t="str">
        <f t="shared" si="57"/>
        <v>Link</v>
      </c>
      <c r="D2259" t="s">
        <v>961</v>
      </c>
      <c r="E2259" s="17">
        <v>1.5</v>
      </c>
      <c r="F2259" t="s">
        <v>3350</v>
      </c>
      <c r="G2259">
        <v>0.5</v>
      </c>
      <c r="I2259">
        <v>1</v>
      </c>
      <c r="Q2259" s="1"/>
      <c r="R2259" s="1">
        <v>-0.14000000000000001</v>
      </c>
    </row>
    <row r="2260" spans="1:18" ht="15.75" customHeight="1" x14ac:dyDescent="0.25">
      <c r="A2260" s="2">
        <v>5444862</v>
      </c>
      <c r="B2260">
        <v>5444862</v>
      </c>
      <c r="C2260" t="str">
        <f t="shared" si="57"/>
        <v>Link</v>
      </c>
      <c r="D2260" t="s">
        <v>961</v>
      </c>
      <c r="E2260" s="17">
        <v>1.5</v>
      </c>
      <c r="F2260" t="s">
        <v>3350</v>
      </c>
      <c r="G2260">
        <v>0.5</v>
      </c>
      <c r="I2260">
        <v>1</v>
      </c>
      <c r="Q2260" s="1"/>
      <c r="R2260" s="1">
        <v>-0.12</v>
      </c>
    </row>
    <row r="2261" spans="1:18" ht="15.75" customHeight="1" x14ac:dyDescent="0.25">
      <c r="A2261" s="2">
        <v>5444862</v>
      </c>
      <c r="B2261">
        <v>5444862</v>
      </c>
      <c r="C2261" t="str">
        <f t="shared" si="57"/>
        <v>Link</v>
      </c>
      <c r="D2261" t="s">
        <v>961</v>
      </c>
      <c r="E2261" s="17">
        <v>1.5</v>
      </c>
      <c r="F2261" t="s">
        <v>3350</v>
      </c>
      <c r="G2261">
        <v>0.5</v>
      </c>
      <c r="I2261">
        <v>1</v>
      </c>
      <c r="Q2261" s="1"/>
      <c r="R2261" s="1">
        <v>0.19</v>
      </c>
    </row>
    <row r="2262" spans="1:18" ht="15.75" customHeight="1" x14ac:dyDescent="0.25">
      <c r="A2262" s="2">
        <v>5444862</v>
      </c>
      <c r="B2262">
        <v>5444862</v>
      </c>
      <c r="C2262" t="str">
        <f t="shared" si="57"/>
        <v>Link</v>
      </c>
      <c r="D2262" t="s">
        <v>961</v>
      </c>
      <c r="E2262" s="17">
        <v>1.5</v>
      </c>
      <c r="F2262" t="s">
        <v>3350</v>
      </c>
      <c r="G2262">
        <v>0.5</v>
      </c>
      <c r="I2262">
        <v>1</v>
      </c>
      <c r="Q2262" s="1"/>
      <c r="R2262" s="1">
        <v>-0.01</v>
      </c>
    </row>
    <row r="2263" spans="1:18" ht="15.75" customHeight="1" x14ac:dyDescent="0.25">
      <c r="A2263" s="2">
        <v>5444862</v>
      </c>
      <c r="B2263">
        <v>5444862</v>
      </c>
      <c r="C2263" t="str">
        <f t="shared" si="57"/>
        <v>Link</v>
      </c>
      <c r="D2263" t="s">
        <v>961</v>
      </c>
      <c r="E2263" s="17">
        <v>1.5</v>
      </c>
      <c r="F2263" t="s">
        <v>3350</v>
      </c>
      <c r="G2263">
        <v>0.5</v>
      </c>
      <c r="I2263">
        <v>1</v>
      </c>
      <c r="Q2263" s="1"/>
      <c r="R2263" s="1">
        <v>0.33</v>
      </c>
    </row>
    <row r="2264" spans="1:18" ht="15.75" customHeight="1" x14ac:dyDescent="0.25">
      <c r="A2264" s="2">
        <v>5444862</v>
      </c>
      <c r="B2264">
        <v>5444862</v>
      </c>
      <c r="C2264" t="str">
        <f t="shared" si="57"/>
        <v>Link</v>
      </c>
      <c r="D2264" t="s">
        <v>961</v>
      </c>
      <c r="E2264" s="17">
        <v>1.5</v>
      </c>
      <c r="F2264" t="s">
        <v>3350</v>
      </c>
      <c r="G2264">
        <v>0.5</v>
      </c>
      <c r="I2264">
        <v>1</v>
      </c>
      <c r="Q2264" s="1"/>
      <c r="R2264" s="1">
        <v>0.12</v>
      </c>
    </row>
    <row r="2265" spans="1:18" ht="15.75" customHeight="1" x14ac:dyDescent="0.25">
      <c r="A2265" s="2">
        <v>5444862</v>
      </c>
      <c r="B2265">
        <v>5444862</v>
      </c>
      <c r="C2265" t="str">
        <f t="shared" si="57"/>
        <v>Link</v>
      </c>
      <c r="D2265" t="s">
        <v>961</v>
      </c>
      <c r="E2265" s="17">
        <v>1.5</v>
      </c>
      <c r="F2265" t="s">
        <v>3350</v>
      </c>
      <c r="G2265">
        <v>0.5</v>
      </c>
      <c r="I2265">
        <v>1</v>
      </c>
      <c r="Q2265" s="1"/>
      <c r="R2265" s="1">
        <v>-0.06</v>
      </c>
    </row>
    <row r="2266" spans="1:18" ht="15.75" customHeight="1" x14ac:dyDescent="0.25">
      <c r="A2266" s="2">
        <v>5444862</v>
      </c>
      <c r="B2266">
        <v>5444862</v>
      </c>
      <c r="C2266" t="str">
        <f t="shared" si="57"/>
        <v>Link</v>
      </c>
      <c r="D2266" t="s">
        <v>961</v>
      </c>
      <c r="E2266" s="17">
        <v>1.5</v>
      </c>
      <c r="F2266" t="s">
        <v>3350</v>
      </c>
      <c r="G2266">
        <v>0.5</v>
      </c>
      <c r="I2266">
        <v>1</v>
      </c>
      <c r="Q2266" s="1"/>
      <c r="R2266" s="1">
        <v>0.02</v>
      </c>
    </row>
    <row r="2267" spans="1:18" ht="15.75" customHeight="1" x14ac:dyDescent="0.25">
      <c r="A2267" s="2">
        <v>5444862</v>
      </c>
      <c r="B2267">
        <v>5444862</v>
      </c>
      <c r="C2267" t="str">
        <f t="shared" si="57"/>
        <v>Link</v>
      </c>
      <c r="D2267" t="s">
        <v>961</v>
      </c>
      <c r="E2267" s="17">
        <v>1.5</v>
      </c>
      <c r="F2267" t="s">
        <v>3350</v>
      </c>
      <c r="G2267">
        <v>0.5</v>
      </c>
      <c r="I2267">
        <v>1</v>
      </c>
      <c r="Q2267" s="1"/>
      <c r="R2267" s="1">
        <v>-0.03</v>
      </c>
    </row>
    <row r="2268" spans="1:18" ht="15.75" customHeight="1" x14ac:dyDescent="0.25">
      <c r="A2268" s="2">
        <v>5444862</v>
      </c>
      <c r="B2268">
        <v>5444862</v>
      </c>
      <c r="C2268" t="str">
        <f t="shared" si="57"/>
        <v>Link</v>
      </c>
      <c r="D2268" t="s">
        <v>961</v>
      </c>
      <c r="E2268" s="17">
        <v>1.5</v>
      </c>
      <c r="F2268" t="s">
        <v>3350</v>
      </c>
      <c r="G2268">
        <v>0.5</v>
      </c>
      <c r="I2268">
        <v>1</v>
      </c>
      <c r="Q2268" s="1"/>
      <c r="R2268" s="1">
        <v>0.15</v>
      </c>
    </row>
    <row r="2269" spans="1:18" ht="15.75" customHeight="1" x14ac:dyDescent="0.25">
      <c r="A2269" s="2">
        <v>5444862</v>
      </c>
      <c r="B2269">
        <v>5444862</v>
      </c>
      <c r="C2269" t="str">
        <f t="shared" si="57"/>
        <v>Link</v>
      </c>
      <c r="D2269" t="s">
        <v>961</v>
      </c>
      <c r="E2269" s="17">
        <v>1.5</v>
      </c>
      <c r="F2269" t="s">
        <v>3350</v>
      </c>
      <c r="G2269">
        <v>0.5</v>
      </c>
      <c r="I2269">
        <v>1</v>
      </c>
      <c r="Q2269" s="1"/>
      <c r="R2269" s="1"/>
    </row>
    <row r="2270" spans="1:18" ht="15.75" customHeight="1" x14ac:dyDescent="0.25">
      <c r="A2270" s="2">
        <v>5444862</v>
      </c>
      <c r="B2270">
        <v>5444862</v>
      </c>
      <c r="C2270" t="str">
        <f t="shared" si="57"/>
        <v>Link</v>
      </c>
      <c r="D2270" t="s">
        <v>961</v>
      </c>
      <c r="E2270" s="17">
        <v>1.5</v>
      </c>
      <c r="F2270" t="s">
        <v>3350</v>
      </c>
      <c r="G2270">
        <v>0.5</v>
      </c>
      <c r="I2270">
        <v>1</v>
      </c>
      <c r="Q2270" s="1"/>
      <c r="R2270" s="1">
        <v>0.28999999999999998</v>
      </c>
    </row>
    <row r="2271" spans="1:18" ht="15.75" customHeight="1" x14ac:dyDescent="0.25">
      <c r="A2271" s="2">
        <v>5444862</v>
      </c>
      <c r="B2271">
        <v>5444862</v>
      </c>
      <c r="C2271" t="str">
        <f t="shared" si="57"/>
        <v>Link</v>
      </c>
      <c r="D2271" t="s">
        <v>961</v>
      </c>
      <c r="E2271" s="17">
        <v>1.5</v>
      </c>
      <c r="F2271" t="s">
        <v>3350</v>
      </c>
      <c r="G2271">
        <v>0.5</v>
      </c>
      <c r="I2271">
        <v>1</v>
      </c>
      <c r="Q2271" s="1"/>
      <c r="R2271" s="1">
        <v>-0.04</v>
      </c>
    </row>
    <row r="2272" spans="1:18" ht="15.75" customHeight="1" x14ac:dyDescent="0.25">
      <c r="A2272" s="2">
        <v>5444862</v>
      </c>
      <c r="B2272">
        <v>5444862</v>
      </c>
      <c r="C2272" t="str">
        <f t="shared" si="57"/>
        <v>Link</v>
      </c>
      <c r="D2272" t="s">
        <v>961</v>
      </c>
      <c r="E2272" s="17">
        <v>1.5</v>
      </c>
      <c r="F2272" t="s">
        <v>3350</v>
      </c>
      <c r="G2272">
        <v>0.5</v>
      </c>
      <c r="I2272">
        <v>1</v>
      </c>
      <c r="Q2272" s="1"/>
      <c r="R2272" s="1">
        <v>0.19</v>
      </c>
    </row>
    <row r="2273" spans="1:19" ht="15.75" customHeight="1" x14ac:dyDescent="0.25">
      <c r="A2273" s="2">
        <v>5444862</v>
      </c>
      <c r="B2273">
        <v>5444862</v>
      </c>
      <c r="C2273" t="str">
        <f t="shared" si="57"/>
        <v>Link</v>
      </c>
      <c r="D2273" t="s">
        <v>961</v>
      </c>
      <c r="E2273" s="17">
        <v>1.5</v>
      </c>
      <c r="F2273" t="s">
        <v>3350</v>
      </c>
      <c r="G2273">
        <v>0.5</v>
      </c>
      <c r="I2273">
        <v>1</v>
      </c>
      <c r="Q2273" s="1"/>
      <c r="R2273" s="1">
        <v>0.31</v>
      </c>
    </row>
    <row r="2274" spans="1:19" ht="15.75" customHeight="1" x14ac:dyDescent="0.25">
      <c r="A2274" s="2">
        <v>5444862</v>
      </c>
      <c r="B2274">
        <v>5444862</v>
      </c>
      <c r="C2274" t="str">
        <f t="shared" si="57"/>
        <v>Link</v>
      </c>
      <c r="D2274" t="s">
        <v>961</v>
      </c>
      <c r="E2274" s="17">
        <v>1.5</v>
      </c>
      <c r="F2274" t="s">
        <v>3350</v>
      </c>
      <c r="G2274">
        <v>0.5</v>
      </c>
      <c r="I2274">
        <v>1</v>
      </c>
      <c r="Q2274" s="1"/>
      <c r="R2274" s="1">
        <v>0.1</v>
      </c>
    </row>
    <row r="2275" spans="1:19" ht="15.75" customHeight="1" x14ac:dyDescent="0.25">
      <c r="A2275" s="2">
        <v>5444862</v>
      </c>
      <c r="B2275">
        <v>5444862</v>
      </c>
      <c r="C2275" t="str">
        <f t="shared" si="57"/>
        <v>Link</v>
      </c>
      <c r="D2275" t="s">
        <v>961</v>
      </c>
      <c r="E2275" s="17">
        <v>1.5</v>
      </c>
      <c r="F2275" t="s">
        <v>3350</v>
      </c>
      <c r="G2275">
        <v>0.5</v>
      </c>
      <c r="I2275">
        <v>1</v>
      </c>
      <c r="Q2275" s="1"/>
      <c r="R2275" s="1">
        <v>0.15</v>
      </c>
    </row>
    <row r="2276" spans="1:19" ht="15.75" customHeight="1" x14ac:dyDescent="0.25">
      <c r="A2276" s="2">
        <v>5444862</v>
      </c>
      <c r="B2276">
        <v>5444862</v>
      </c>
      <c r="C2276" t="str">
        <f t="shared" si="57"/>
        <v>Link</v>
      </c>
      <c r="D2276" t="s">
        <v>961</v>
      </c>
      <c r="E2276" s="17">
        <v>1.5</v>
      </c>
      <c r="F2276" t="s">
        <v>3350</v>
      </c>
      <c r="G2276">
        <v>0.5</v>
      </c>
      <c r="I2276">
        <v>1</v>
      </c>
      <c r="Q2276" s="1"/>
      <c r="R2276" s="1">
        <v>-0.03</v>
      </c>
    </row>
    <row r="2277" spans="1:19" ht="15.75" customHeight="1" x14ac:dyDescent="0.25">
      <c r="A2277" s="2">
        <v>5444862</v>
      </c>
      <c r="B2277">
        <v>5444862</v>
      </c>
      <c r="C2277" t="str">
        <f t="shared" si="57"/>
        <v>Link</v>
      </c>
      <c r="D2277" t="s">
        <v>961</v>
      </c>
      <c r="E2277" s="17">
        <v>1.5</v>
      </c>
      <c r="F2277" t="s">
        <v>3350</v>
      </c>
      <c r="G2277">
        <v>0.5</v>
      </c>
      <c r="I2277">
        <v>1</v>
      </c>
      <c r="Q2277" s="1"/>
      <c r="R2277" s="1">
        <v>-0.02</v>
      </c>
    </row>
    <row r="2278" spans="1:19" ht="15.75" customHeight="1" x14ac:dyDescent="0.25">
      <c r="A2278" s="2">
        <v>5444862</v>
      </c>
      <c r="B2278">
        <v>5444862</v>
      </c>
      <c r="C2278" t="str">
        <f t="shared" si="57"/>
        <v>Link</v>
      </c>
      <c r="D2278" t="s">
        <v>961</v>
      </c>
      <c r="E2278" s="17">
        <v>1.5</v>
      </c>
      <c r="F2278" t="s">
        <v>3350</v>
      </c>
      <c r="G2278">
        <v>0.5</v>
      </c>
      <c r="I2278">
        <v>1</v>
      </c>
      <c r="Q2278" s="1"/>
      <c r="R2278" s="1">
        <v>0.44</v>
      </c>
    </row>
    <row r="2279" spans="1:19" ht="15.75" customHeight="1" x14ac:dyDescent="0.25">
      <c r="A2279" s="2">
        <v>5444863</v>
      </c>
      <c r="B2279">
        <v>5444863</v>
      </c>
      <c r="C2279" t="str">
        <f>HYPERLINK("https://ois.dk/map/5444863/sfe", "Link")</f>
        <v>Link</v>
      </c>
      <c r="D2279" t="s">
        <v>3351</v>
      </c>
      <c r="E2279" s="17">
        <v>1.05</v>
      </c>
      <c r="F2279" t="s">
        <v>3352</v>
      </c>
      <c r="G2279">
        <v>0.5</v>
      </c>
      <c r="H2279">
        <v>0.25</v>
      </c>
      <c r="J2279">
        <v>0.3</v>
      </c>
      <c r="Q2279" s="1"/>
      <c r="R2279" s="1"/>
      <c r="S2279">
        <v>1.81</v>
      </c>
    </row>
    <row r="2280" spans="1:19" ht="15.75" customHeight="1" x14ac:dyDescent="0.25">
      <c r="A2280" s="2">
        <v>5444864</v>
      </c>
      <c r="B2280">
        <v>5444864</v>
      </c>
      <c r="C2280" t="str">
        <f>HYPERLINK("https://ois.dk/map/5444864/sfe", "Link")</f>
        <v>Link</v>
      </c>
      <c r="D2280" t="s">
        <v>3353</v>
      </c>
      <c r="E2280" s="17">
        <v>1.05</v>
      </c>
      <c r="F2280" t="s">
        <v>3354</v>
      </c>
      <c r="G2280">
        <v>0.5</v>
      </c>
      <c r="H2280">
        <v>0.25</v>
      </c>
      <c r="J2280">
        <v>0.3</v>
      </c>
      <c r="Q2280" s="1"/>
      <c r="R2280" s="1"/>
      <c r="S2280">
        <v>1.5</v>
      </c>
    </row>
    <row r="2281" spans="1:19" ht="15.75" customHeight="1" x14ac:dyDescent="0.25">
      <c r="A2281" s="2">
        <v>5444865</v>
      </c>
      <c r="B2281">
        <v>5444865</v>
      </c>
      <c r="C2281" t="str">
        <f>HYPERLINK("https://ois.dk/map/5444865/sfe", "Link")</f>
        <v>Link</v>
      </c>
      <c r="D2281" t="s">
        <v>3355</v>
      </c>
      <c r="E2281" s="17">
        <v>0.55000000000000004</v>
      </c>
      <c r="F2281" t="s">
        <v>3356</v>
      </c>
      <c r="H2281">
        <v>0.25</v>
      </c>
      <c r="J2281">
        <v>0.3</v>
      </c>
      <c r="Q2281" s="1"/>
      <c r="R2281" s="1"/>
      <c r="S2281">
        <v>2.11</v>
      </c>
    </row>
    <row r="2282" spans="1:19" ht="15.75" customHeight="1" x14ac:dyDescent="0.25">
      <c r="A2282" s="2">
        <v>5444865</v>
      </c>
      <c r="B2282">
        <v>5444865</v>
      </c>
      <c r="C2282" t="str">
        <f>HYPERLINK("https://ois.dk/map/5444865/sfe", "Link")</f>
        <v>Link</v>
      </c>
      <c r="D2282" t="s">
        <v>3355</v>
      </c>
      <c r="E2282" s="17">
        <v>0.5</v>
      </c>
      <c r="F2282" t="s">
        <v>3357</v>
      </c>
      <c r="G2282">
        <v>0.5</v>
      </c>
      <c r="Q2282" s="1"/>
      <c r="R2282" s="1"/>
      <c r="S2282">
        <v>2.11</v>
      </c>
    </row>
    <row r="2283" spans="1:19" ht="15.75" customHeight="1" x14ac:dyDescent="0.25">
      <c r="A2283" s="2">
        <v>5444865</v>
      </c>
      <c r="B2283">
        <v>5444865</v>
      </c>
      <c r="C2283" t="str">
        <f>HYPERLINK("https://ois.dk/map/5444865/sfe", "Link")</f>
        <v>Link</v>
      </c>
      <c r="D2283" t="s">
        <v>3355</v>
      </c>
      <c r="E2283" s="17">
        <v>0.5</v>
      </c>
      <c r="F2283" t="s">
        <v>3358</v>
      </c>
      <c r="G2283">
        <v>0.5</v>
      </c>
      <c r="Q2283" s="1"/>
      <c r="R2283" s="1"/>
      <c r="S2283">
        <v>2.11</v>
      </c>
    </row>
    <row r="2284" spans="1:19" ht="15.75" customHeight="1" x14ac:dyDescent="0.25">
      <c r="A2284" s="2">
        <v>5444867</v>
      </c>
      <c r="B2284">
        <v>5444867</v>
      </c>
      <c r="C2284" t="str">
        <f t="shared" ref="C2284:C2296" si="58">HYPERLINK("https://ois.dk/map/5444867/sfe", "Link")</f>
        <v>Link</v>
      </c>
      <c r="D2284" t="s">
        <v>3359</v>
      </c>
      <c r="E2284" s="17">
        <v>0.54999999999999982</v>
      </c>
      <c r="F2284" t="s">
        <v>3360</v>
      </c>
      <c r="H2284">
        <v>0.25</v>
      </c>
      <c r="J2284">
        <v>0.3</v>
      </c>
      <c r="Q2284" s="1"/>
      <c r="R2284" s="1"/>
      <c r="S2284">
        <v>1.45</v>
      </c>
    </row>
    <row r="2285" spans="1:19" ht="15.75" customHeight="1" x14ac:dyDescent="0.25">
      <c r="A2285" s="2">
        <v>5444867</v>
      </c>
      <c r="B2285">
        <v>5444867</v>
      </c>
      <c r="C2285" t="str">
        <f t="shared" si="58"/>
        <v>Link</v>
      </c>
      <c r="D2285" t="s">
        <v>3359</v>
      </c>
      <c r="E2285" s="17">
        <v>0.5</v>
      </c>
      <c r="F2285" t="s">
        <v>3360</v>
      </c>
      <c r="G2285">
        <v>0.5</v>
      </c>
      <c r="Q2285" s="1"/>
      <c r="R2285" s="1"/>
      <c r="S2285">
        <v>1.45</v>
      </c>
    </row>
    <row r="2286" spans="1:19" ht="15.75" customHeight="1" x14ac:dyDescent="0.25">
      <c r="A2286" s="2">
        <v>5444867</v>
      </c>
      <c r="B2286">
        <v>5444867</v>
      </c>
      <c r="C2286" t="str">
        <f t="shared" si="58"/>
        <v>Link</v>
      </c>
      <c r="D2286" t="s">
        <v>3359</v>
      </c>
      <c r="E2286" s="17">
        <v>0.5</v>
      </c>
      <c r="F2286" t="s">
        <v>3361</v>
      </c>
      <c r="G2286">
        <v>0.5</v>
      </c>
      <c r="Q2286" s="1"/>
      <c r="R2286" s="1"/>
      <c r="S2286">
        <v>1.45</v>
      </c>
    </row>
    <row r="2287" spans="1:19" ht="15.75" customHeight="1" x14ac:dyDescent="0.25">
      <c r="A2287" s="2">
        <v>5444867</v>
      </c>
      <c r="B2287">
        <v>5444867</v>
      </c>
      <c r="C2287" t="str">
        <f t="shared" si="58"/>
        <v>Link</v>
      </c>
      <c r="D2287" t="s">
        <v>3359</v>
      </c>
      <c r="E2287" s="17">
        <v>0.5</v>
      </c>
      <c r="F2287" t="s">
        <v>3362</v>
      </c>
      <c r="G2287">
        <v>0.5</v>
      </c>
      <c r="Q2287" s="1"/>
      <c r="R2287" s="1"/>
      <c r="S2287">
        <v>1.45</v>
      </c>
    </row>
    <row r="2288" spans="1:19" ht="15.75" customHeight="1" x14ac:dyDescent="0.25">
      <c r="A2288" s="2">
        <v>5444867</v>
      </c>
      <c r="B2288">
        <v>5444867</v>
      </c>
      <c r="C2288" t="str">
        <f t="shared" si="58"/>
        <v>Link</v>
      </c>
      <c r="D2288" t="s">
        <v>3359</v>
      </c>
      <c r="E2288" s="17">
        <v>0.5</v>
      </c>
      <c r="F2288" t="s">
        <v>3363</v>
      </c>
      <c r="G2288">
        <v>0.5</v>
      </c>
      <c r="Q2288" s="1"/>
      <c r="R2288" s="1"/>
      <c r="S2288">
        <v>1.45</v>
      </c>
    </row>
    <row r="2289" spans="1:19" ht="15.75" customHeight="1" x14ac:dyDescent="0.25">
      <c r="A2289" s="2">
        <v>5444867</v>
      </c>
      <c r="B2289">
        <v>5444867</v>
      </c>
      <c r="C2289" t="str">
        <f t="shared" si="58"/>
        <v>Link</v>
      </c>
      <c r="D2289" t="s">
        <v>3359</v>
      </c>
      <c r="E2289" s="17">
        <v>0.5</v>
      </c>
      <c r="F2289" t="s">
        <v>3364</v>
      </c>
      <c r="G2289">
        <v>0.5</v>
      </c>
      <c r="Q2289" s="1"/>
      <c r="R2289" s="1"/>
      <c r="S2289">
        <v>1.45</v>
      </c>
    </row>
    <row r="2290" spans="1:19" ht="15.75" customHeight="1" x14ac:dyDescent="0.25">
      <c r="A2290" s="2">
        <v>5444867</v>
      </c>
      <c r="B2290">
        <v>5444867</v>
      </c>
      <c r="C2290" t="str">
        <f t="shared" si="58"/>
        <v>Link</v>
      </c>
      <c r="D2290" t="s">
        <v>3359</v>
      </c>
      <c r="E2290" s="17">
        <v>0.5</v>
      </c>
      <c r="F2290" t="s">
        <v>3365</v>
      </c>
      <c r="G2290">
        <v>0.5</v>
      </c>
      <c r="Q2290" s="1"/>
      <c r="R2290" s="1"/>
      <c r="S2290">
        <v>1.45</v>
      </c>
    </row>
    <row r="2291" spans="1:19" ht="15.75" customHeight="1" x14ac:dyDescent="0.25">
      <c r="A2291" s="2">
        <v>5444867</v>
      </c>
      <c r="B2291">
        <v>5444867</v>
      </c>
      <c r="C2291" t="str">
        <f t="shared" si="58"/>
        <v>Link</v>
      </c>
      <c r="D2291" t="s">
        <v>3359</v>
      </c>
      <c r="E2291" s="17">
        <v>0.5</v>
      </c>
      <c r="F2291" t="s">
        <v>3366</v>
      </c>
      <c r="G2291">
        <v>0.5</v>
      </c>
      <c r="Q2291" s="1"/>
      <c r="R2291" s="1"/>
      <c r="S2291">
        <v>1.45</v>
      </c>
    </row>
    <row r="2292" spans="1:19" ht="15.75" customHeight="1" x14ac:dyDescent="0.25">
      <c r="A2292" s="2">
        <v>5444867</v>
      </c>
      <c r="B2292">
        <v>5444867</v>
      </c>
      <c r="C2292" t="str">
        <f t="shared" si="58"/>
        <v>Link</v>
      </c>
      <c r="D2292" t="s">
        <v>3359</v>
      </c>
      <c r="E2292" s="17">
        <v>0.5</v>
      </c>
      <c r="F2292" t="s">
        <v>3367</v>
      </c>
      <c r="G2292">
        <v>0.5</v>
      </c>
      <c r="Q2292" s="1"/>
      <c r="R2292" s="1"/>
      <c r="S2292">
        <v>1.45</v>
      </c>
    </row>
    <row r="2293" spans="1:19" ht="15.75" customHeight="1" x14ac:dyDescent="0.25">
      <c r="A2293" s="2">
        <v>5444867</v>
      </c>
      <c r="B2293">
        <v>5444867</v>
      </c>
      <c r="C2293" t="str">
        <f t="shared" si="58"/>
        <v>Link</v>
      </c>
      <c r="D2293" t="s">
        <v>3359</v>
      </c>
      <c r="E2293" s="17">
        <v>0.5</v>
      </c>
      <c r="F2293" t="s">
        <v>3368</v>
      </c>
      <c r="G2293">
        <v>0.5</v>
      </c>
      <c r="Q2293" s="1"/>
      <c r="R2293" s="1"/>
      <c r="S2293">
        <v>1.45</v>
      </c>
    </row>
    <row r="2294" spans="1:19" ht="15.75" customHeight="1" x14ac:dyDescent="0.25">
      <c r="A2294" s="2">
        <v>5444867</v>
      </c>
      <c r="B2294">
        <v>5444867</v>
      </c>
      <c r="C2294" t="str">
        <f t="shared" si="58"/>
        <v>Link</v>
      </c>
      <c r="D2294" t="s">
        <v>3359</v>
      </c>
      <c r="E2294" s="17">
        <v>0.5</v>
      </c>
      <c r="F2294" t="s">
        <v>3369</v>
      </c>
      <c r="G2294">
        <v>0.5</v>
      </c>
      <c r="Q2294" s="1"/>
      <c r="R2294" s="1"/>
      <c r="S2294">
        <v>1.45</v>
      </c>
    </row>
    <row r="2295" spans="1:19" ht="15.75" customHeight="1" x14ac:dyDescent="0.25">
      <c r="A2295" s="2">
        <v>5444867</v>
      </c>
      <c r="B2295">
        <v>5444867</v>
      </c>
      <c r="C2295" t="str">
        <f t="shared" si="58"/>
        <v>Link</v>
      </c>
      <c r="D2295" t="s">
        <v>3359</v>
      </c>
      <c r="E2295" s="17">
        <v>0.5</v>
      </c>
      <c r="F2295" t="s">
        <v>3370</v>
      </c>
      <c r="G2295">
        <v>0.5</v>
      </c>
      <c r="Q2295" s="1"/>
      <c r="R2295" s="1"/>
      <c r="S2295">
        <v>1.45</v>
      </c>
    </row>
    <row r="2296" spans="1:19" ht="15.75" customHeight="1" x14ac:dyDescent="0.25">
      <c r="A2296" s="2">
        <v>5444867</v>
      </c>
      <c r="B2296">
        <v>5444867</v>
      </c>
      <c r="C2296" t="str">
        <f t="shared" si="58"/>
        <v>Link</v>
      </c>
      <c r="D2296" t="s">
        <v>3359</v>
      </c>
      <c r="E2296" s="17">
        <v>0.5</v>
      </c>
      <c r="F2296" t="s">
        <v>3371</v>
      </c>
      <c r="G2296">
        <v>0.5</v>
      </c>
      <c r="Q2296" s="1"/>
      <c r="R2296" s="1"/>
      <c r="S2296">
        <v>1.45</v>
      </c>
    </row>
    <row r="2297" spans="1:19" ht="15.75" customHeight="1" x14ac:dyDescent="0.25">
      <c r="A2297" s="2">
        <v>5444868</v>
      </c>
      <c r="B2297">
        <v>5444868</v>
      </c>
      <c r="C2297" t="str">
        <f>HYPERLINK("https://ois.dk/map/5444868/sfe", "Link")</f>
        <v>Link</v>
      </c>
      <c r="D2297" t="s">
        <v>3372</v>
      </c>
      <c r="E2297" s="17">
        <v>1.55</v>
      </c>
      <c r="F2297" t="s">
        <v>3373</v>
      </c>
      <c r="H2297">
        <v>0.25</v>
      </c>
      <c r="J2297">
        <v>0.3</v>
      </c>
      <c r="K2297">
        <v>1</v>
      </c>
      <c r="Q2297" s="1"/>
      <c r="R2297" s="1">
        <v>1.28</v>
      </c>
    </row>
    <row r="2298" spans="1:19" ht="15.75" customHeight="1" x14ac:dyDescent="0.25">
      <c r="A2298" s="2">
        <v>5444868</v>
      </c>
      <c r="B2298">
        <v>5444868</v>
      </c>
      <c r="C2298" t="str">
        <f>HYPERLINK("https://ois.dk/map/5444868/sfe", "Link")</f>
        <v>Link</v>
      </c>
      <c r="D2298" t="s">
        <v>3372</v>
      </c>
      <c r="E2298" s="17">
        <v>1.5</v>
      </c>
      <c r="F2298" t="s">
        <v>3374</v>
      </c>
      <c r="G2298">
        <v>0.5</v>
      </c>
      <c r="I2298">
        <v>1</v>
      </c>
      <c r="Q2298" s="1"/>
      <c r="R2298" s="1">
        <v>1.28</v>
      </c>
    </row>
    <row r="2299" spans="1:19" ht="15.75" customHeight="1" x14ac:dyDescent="0.25">
      <c r="A2299" s="2">
        <v>5444868</v>
      </c>
      <c r="B2299">
        <v>5444868</v>
      </c>
      <c r="C2299" t="str">
        <f>HYPERLINK("https://ois.dk/map/5444868/sfe", "Link")</f>
        <v>Link</v>
      </c>
      <c r="D2299" t="s">
        <v>3372</v>
      </c>
      <c r="E2299" s="17">
        <v>1.5</v>
      </c>
      <c r="F2299" t="s">
        <v>3375</v>
      </c>
      <c r="G2299">
        <v>0.5</v>
      </c>
      <c r="I2299">
        <v>1</v>
      </c>
      <c r="Q2299" s="1"/>
      <c r="R2299" s="1">
        <v>1.28</v>
      </c>
    </row>
    <row r="2300" spans="1:19" ht="15.75" customHeight="1" x14ac:dyDescent="0.25">
      <c r="A2300" s="2">
        <v>5444869</v>
      </c>
      <c r="B2300">
        <v>5444869</v>
      </c>
      <c r="C2300" t="str">
        <f>HYPERLINK("https://ois.dk/map/5444869/sfe", "Link")</f>
        <v>Link</v>
      </c>
      <c r="D2300" t="s">
        <v>3376</v>
      </c>
      <c r="E2300" s="17">
        <v>0.75</v>
      </c>
      <c r="F2300" t="s">
        <v>3377</v>
      </c>
      <c r="G2300">
        <v>0.5</v>
      </c>
      <c r="H2300">
        <v>0.25</v>
      </c>
      <c r="Q2300" s="1"/>
      <c r="R2300" s="1"/>
    </row>
    <row r="2301" spans="1:19" ht="15.75" customHeight="1" x14ac:dyDescent="0.25">
      <c r="A2301" s="2">
        <v>5444870</v>
      </c>
      <c r="B2301">
        <v>5444870</v>
      </c>
      <c r="C2301" t="str">
        <f>HYPERLINK("https://ois.dk/map/5444870/sfe", "Link")</f>
        <v>Link</v>
      </c>
      <c r="D2301" t="s">
        <v>3378</v>
      </c>
      <c r="E2301" s="17">
        <v>0.75</v>
      </c>
      <c r="F2301" t="s">
        <v>3379</v>
      </c>
      <c r="G2301">
        <v>0.5</v>
      </c>
      <c r="H2301">
        <v>0.25</v>
      </c>
      <c r="Q2301" s="1"/>
      <c r="R2301" s="1"/>
    </row>
    <row r="2302" spans="1:19" ht="15.75" customHeight="1" x14ac:dyDescent="0.25">
      <c r="A2302" s="2">
        <v>5444871</v>
      </c>
      <c r="B2302">
        <v>5444871</v>
      </c>
      <c r="C2302" t="str">
        <f>HYPERLINK("https://ois.dk/map/5444871/sfe", "Link")</f>
        <v>Link</v>
      </c>
      <c r="D2302" t="s">
        <v>3380</v>
      </c>
      <c r="E2302" s="17">
        <v>0.54999999999999982</v>
      </c>
      <c r="F2302" t="s">
        <v>3381</v>
      </c>
      <c r="H2302">
        <v>0.25</v>
      </c>
      <c r="J2302">
        <v>0.3</v>
      </c>
      <c r="Q2302" s="1"/>
      <c r="R2302" s="1">
        <v>1.1200000000000001</v>
      </c>
    </row>
    <row r="2303" spans="1:19" ht="15.75" customHeight="1" x14ac:dyDescent="0.25">
      <c r="A2303" s="2">
        <v>5444871</v>
      </c>
      <c r="B2303">
        <v>5444871</v>
      </c>
      <c r="C2303" t="str">
        <f>HYPERLINK("https://ois.dk/map/5444871/sfe", "Link")</f>
        <v>Link</v>
      </c>
      <c r="D2303" t="s">
        <v>3380</v>
      </c>
      <c r="E2303" s="17">
        <v>1.5</v>
      </c>
      <c r="F2303" t="s">
        <v>3382</v>
      </c>
      <c r="G2303">
        <v>0.5</v>
      </c>
      <c r="I2303">
        <v>1</v>
      </c>
      <c r="Q2303" s="1"/>
      <c r="R2303" s="1">
        <v>2.16</v>
      </c>
    </row>
    <row r="2304" spans="1:19" ht="15.75" customHeight="1" x14ac:dyDescent="0.25">
      <c r="A2304" s="2">
        <v>5444871</v>
      </c>
      <c r="B2304">
        <v>5444871</v>
      </c>
      <c r="C2304" t="str">
        <f>HYPERLINK("https://ois.dk/map/5444871/sfe", "Link")</f>
        <v>Link</v>
      </c>
      <c r="D2304" t="s">
        <v>3380</v>
      </c>
      <c r="E2304" s="17">
        <v>1.5</v>
      </c>
      <c r="F2304" t="s">
        <v>3383</v>
      </c>
      <c r="G2304">
        <v>0.5</v>
      </c>
      <c r="I2304">
        <v>1</v>
      </c>
      <c r="Q2304" s="1"/>
      <c r="R2304" s="1">
        <v>1.1200000000000001</v>
      </c>
    </row>
    <row r="2305" spans="1:19" ht="15.75" customHeight="1" x14ac:dyDescent="0.25">
      <c r="A2305" s="2">
        <v>5444871</v>
      </c>
      <c r="B2305">
        <v>5444871</v>
      </c>
      <c r="C2305" t="str">
        <f>HYPERLINK("https://ois.dk/map/5444871/sfe", "Link")</f>
        <v>Link</v>
      </c>
      <c r="D2305" t="s">
        <v>3380</v>
      </c>
      <c r="E2305" s="17">
        <v>1.5</v>
      </c>
      <c r="F2305" t="s">
        <v>3384</v>
      </c>
      <c r="G2305">
        <v>0.5</v>
      </c>
      <c r="I2305">
        <v>1</v>
      </c>
      <c r="Q2305" s="1"/>
      <c r="R2305" s="1">
        <v>1.1200000000000001</v>
      </c>
    </row>
    <row r="2306" spans="1:19" ht="15.75" customHeight="1" x14ac:dyDescent="0.25">
      <c r="A2306" s="2">
        <v>5444872</v>
      </c>
      <c r="B2306">
        <v>5444872</v>
      </c>
      <c r="C2306" t="str">
        <f>HYPERLINK("https://ois.dk/map/5444872/sfe", "Link")</f>
        <v>Link</v>
      </c>
      <c r="D2306" t="s">
        <v>3385</v>
      </c>
      <c r="E2306" s="17">
        <v>2.0499999999999998</v>
      </c>
      <c r="F2306" t="s">
        <v>3386</v>
      </c>
      <c r="G2306">
        <v>0.5</v>
      </c>
      <c r="H2306">
        <v>0.25</v>
      </c>
      <c r="I2306">
        <v>1</v>
      </c>
      <c r="J2306">
        <v>0.3</v>
      </c>
      <c r="Q2306" s="1"/>
      <c r="R2306" s="1">
        <v>2.17</v>
      </c>
      <c r="S2306">
        <v>1.76</v>
      </c>
    </row>
    <row r="2307" spans="1:19" ht="15.75" customHeight="1" x14ac:dyDescent="0.25">
      <c r="A2307" s="2">
        <v>5444877</v>
      </c>
      <c r="B2307">
        <v>5444877</v>
      </c>
      <c r="C2307" t="str">
        <f>HYPERLINK("https://ois.dk/map/5444877/sfe", "Link")</f>
        <v>Link</v>
      </c>
      <c r="D2307" t="s">
        <v>3387</v>
      </c>
      <c r="E2307" s="17">
        <v>0.5</v>
      </c>
      <c r="F2307" t="s">
        <v>3388</v>
      </c>
      <c r="G2307">
        <v>0.5</v>
      </c>
      <c r="Q2307" s="1"/>
      <c r="R2307" s="1"/>
    </row>
    <row r="2308" spans="1:19" ht="15.75" customHeight="1" x14ac:dyDescent="0.25">
      <c r="A2308" s="2">
        <v>5444879</v>
      </c>
      <c r="B2308">
        <v>5444879</v>
      </c>
      <c r="C2308" t="str">
        <f>HYPERLINK("https://ois.dk/map/5444879/sfe", "Link")</f>
        <v>Link</v>
      </c>
      <c r="D2308" t="s">
        <v>3389</v>
      </c>
      <c r="E2308" s="17">
        <v>0.75</v>
      </c>
      <c r="G2308">
        <v>0.5</v>
      </c>
      <c r="H2308">
        <v>0.25</v>
      </c>
      <c r="Q2308" s="1"/>
      <c r="R2308" s="1"/>
    </row>
    <row r="2309" spans="1:19" ht="15.75" customHeight="1" x14ac:dyDescent="0.25">
      <c r="A2309" s="2">
        <v>5444887</v>
      </c>
      <c r="B2309">
        <v>5444887</v>
      </c>
      <c r="C2309" t="str">
        <f>HYPERLINK("https://ois.dk/map/5444887/sfe", "Link")</f>
        <v>Link</v>
      </c>
      <c r="D2309" t="s">
        <v>3390</v>
      </c>
      <c r="E2309" s="17">
        <v>0.5</v>
      </c>
      <c r="F2309" t="s">
        <v>3391</v>
      </c>
      <c r="G2309">
        <v>0.5</v>
      </c>
      <c r="Q2309" s="1"/>
      <c r="R2309" s="1"/>
    </row>
    <row r="2310" spans="1:19" ht="15.75" customHeight="1" x14ac:dyDescent="0.25">
      <c r="A2310" s="2">
        <v>5444889</v>
      </c>
      <c r="B2310">
        <v>5444889</v>
      </c>
      <c r="C2310" t="str">
        <f>HYPERLINK("https://ois.dk/map/5444889/sfe", "Link")</f>
        <v>Link</v>
      </c>
      <c r="D2310" t="s">
        <v>994</v>
      </c>
      <c r="E2310" s="17">
        <v>0.625</v>
      </c>
      <c r="F2310" t="s">
        <v>3392</v>
      </c>
      <c r="G2310">
        <v>0.5</v>
      </c>
      <c r="M2310">
        <v>0.125</v>
      </c>
      <c r="Q2310" s="1"/>
      <c r="R2310" s="1"/>
    </row>
    <row r="2311" spans="1:19" ht="15.75" customHeight="1" x14ac:dyDescent="0.25">
      <c r="A2311" s="2">
        <v>5444890</v>
      </c>
      <c r="B2311">
        <v>5444890</v>
      </c>
      <c r="C2311" t="str">
        <f>HYPERLINK("https://ois.dk/map/5444890/sfe", "Link")</f>
        <v>Link</v>
      </c>
      <c r="D2311" t="s">
        <v>3393</v>
      </c>
      <c r="E2311" s="17">
        <v>0.5</v>
      </c>
      <c r="F2311" t="s">
        <v>3394</v>
      </c>
      <c r="G2311">
        <v>0.5</v>
      </c>
      <c r="Q2311" s="1"/>
      <c r="R2311" s="1"/>
    </row>
    <row r="2312" spans="1:19" ht="15.75" customHeight="1" x14ac:dyDescent="0.25">
      <c r="A2312" s="2">
        <v>5444893</v>
      </c>
      <c r="B2312">
        <v>5444893</v>
      </c>
      <c r="C2312" t="str">
        <f>HYPERLINK("https://ois.dk/map/5444893/sfe", "Link")</f>
        <v>Link</v>
      </c>
      <c r="D2312" t="s">
        <v>140</v>
      </c>
      <c r="E2312" s="17">
        <v>3.2890000000000001</v>
      </c>
      <c r="G2312">
        <v>0.5</v>
      </c>
      <c r="H2312">
        <v>0.25</v>
      </c>
      <c r="L2312">
        <v>2.5390000000000001</v>
      </c>
      <c r="Q2312" s="1"/>
      <c r="R2312" s="1"/>
    </row>
    <row r="2313" spans="1:19" ht="15.75" customHeight="1" x14ac:dyDescent="0.25">
      <c r="A2313" s="2">
        <v>5444894</v>
      </c>
      <c r="B2313">
        <v>5444894</v>
      </c>
      <c r="C2313" t="str">
        <f>HYPERLINK("https://ois.dk/map/5444894/sfe", "Link")</f>
        <v>Link</v>
      </c>
      <c r="D2313" t="s">
        <v>141</v>
      </c>
      <c r="E2313" s="17">
        <v>0.5</v>
      </c>
      <c r="G2313">
        <v>0.5</v>
      </c>
      <c r="Q2313" s="1"/>
      <c r="R2313" s="1"/>
    </row>
    <row r="2314" spans="1:19" ht="15.75" customHeight="1" x14ac:dyDescent="0.25">
      <c r="A2314" s="2">
        <v>5444896</v>
      </c>
      <c r="B2314">
        <v>5444896</v>
      </c>
      <c r="C2314" t="str">
        <f>HYPERLINK("https://ois.dk/map/5444896/sfe", "Link")</f>
        <v>Link</v>
      </c>
      <c r="D2314" t="s">
        <v>1266</v>
      </c>
      <c r="E2314" s="17">
        <v>3.7010000000000001</v>
      </c>
      <c r="G2314">
        <v>0.5</v>
      </c>
      <c r="L2314">
        <v>3.1850000000000001</v>
      </c>
      <c r="M2314">
        <v>1.6E-2</v>
      </c>
      <c r="Q2314" s="1"/>
      <c r="R2314" s="1"/>
    </row>
    <row r="2315" spans="1:19" ht="15.75" customHeight="1" x14ac:dyDescent="0.25">
      <c r="A2315" s="2">
        <v>5444898</v>
      </c>
      <c r="B2315">
        <v>5444898</v>
      </c>
      <c r="C2315" t="str">
        <f>HYPERLINK("https://ois.dk/map/5444898/sfe", "Link")</f>
        <v>Link</v>
      </c>
      <c r="D2315" t="s">
        <v>3395</v>
      </c>
      <c r="E2315" s="17">
        <v>0.5</v>
      </c>
      <c r="G2315">
        <v>0.5</v>
      </c>
      <c r="Q2315" s="1"/>
      <c r="R2315" s="1"/>
    </row>
    <row r="2316" spans="1:19" ht="15.75" customHeight="1" x14ac:dyDescent="0.25">
      <c r="A2316" s="2">
        <v>5444899</v>
      </c>
      <c r="B2316">
        <v>5444899</v>
      </c>
      <c r="C2316" t="str">
        <f>HYPERLINK("https://ois.dk/map/5444899/sfe", "Link")</f>
        <v>Link</v>
      </c>
      <c r="D2316" t="s">
        <v>1268</v>
      </c>
      <c r="E2316" s="17">
        <v>0.5</v>
      </c>
      <c r="G2316">
        <v>0.5</v>
      </c>
      <c r="Q2316" s="1"/>
      <c r="R2316" s="1"/>
    </row>
    <row r="2317" spans="1:19" ht="15.75" customHeight="1" x14ac:dyDescent="0.25">
      <c r="A2317" s="2">
        <v>5444900</v>
      </c>
      <c r="B2317">
        <v>5444900</v>
      </c>
      <c r="C2317" t="str">
        <f>HYPERLINK("https://ois.dk/map/5444900/sfe", "Link")</f>
        <v>Link</v>
      </c>
      <c r="D2317" t="s">
        <v>1269</v>
      </c>
      <c r="E2317" s="17">
        <v>5.8230000000000004</v>
      </c>
      <c r="G2317">
        <v>0.5</v>
      </c>
      <c r="L2317">
        <v>5.3230000000000004</v>
      </c>
      <c r="Q2317" s="1"/>
      <c r="R2317" s="1"/>
    </row>
    <row r="2318" spans="1:19" ht="15.75" customHeight="1" x14ac:dyDescent="0.25">
      <c r="A2318" s="2">
        <v>5444901</v>
      </c>
      <c r="B2318">
        <v>5444901</v>
      </c>
      <c r="C2318" t="str">
        <f>HYPERLINK("https://ois.dk/map/5444901/sfe", "Link")</f>
        <v>Link</v>
      </c>
      <c r="D2318" t="s">
        <v>1270</v>
      </c>
      <c r="E2318" s="17">
        <v>1.2609999999999999</v>
      </c>
      <c r="G2318">
        <v>0.5</v>
      </c>
      <c r="H2318">
        <v>0.25</v>
      </c>
      <c r="L2318">
        <v>0.51100000000000001</v>
      </c>
      <c r="Q2318" s="1"/>
      <c r="R2318" s="1"/>
    </row>
    <row r="2319" spans="1:19" ht="15.75" customHeight="1" x14ac:dyDescent="0.25">
      <c r="A2319" s="2">
        <v>5444902</v>
      </c>
      <c r="B2319">
        <v>5444902</v>
      </c>
      <c r="C2319" t="str">
        <f>HYPERLINK("https://ois.dk/map/5444902/sfe", "Link")</f>
        <v>Link</v>
      </c>
      <c r="D2319" t="s">
        <v>1272</v>
      </c>
      <c r="E2319" s="17">
        <v>6.2850000000000001</v>
      </c>
      <c r="G2319">
        <v>0.5</v>
      </c>
      <c r="H2319">
        <v>0.25</v>
      </c>
      <c r="L2319">
        <v>1.5349999999999999</v>
      </c>
      <c r="O2319">
        <v>4</v>
      </c>
      <c r="Q2319" s="1"/>
      <c r="R2319" s="1"/>
    </row>
    <row r="2320" spans="1:19" ht="15.75" customHeight="1" x14ac:dyDescent="0.25">
      <c r="A2320" s="2">
        <v>5444903</v>
      </c>
      <c r="B2320">
        <v>5444903</v>
      </c>
      <c r="C2320" t="str">
        <f>HYPERLINK("https://ois.dk/map/5444903/sfe", "Link")</f>
        <v>Link</v>
      </c>
      <c r="D2320" t="s">
        <v>1273</v>
      </c>
      <c r="E2320" s="17">
        <v>3.1070000000000002</v>
      </c>
      <c r="G2320">
        <v>0.5</v>
      </c>
      <c r="H2320">
        <v>0.25</v>
      </c>
      <c r="L2320">
        <v>2.3570000000000002</v>
      </c>
      <c r="Q2320" s="1"/>
      <c r="R2320" s="1"/>
    </row>
    <row r="2321" spans="1:18" ht="15.75" customHeight="1" x14ac:dyDescent="0.25">
      <c r="A2321" s="2">
        <v>5444904</v>
      </c>
      <c r="B2321">
        <v>5444904</v>
      </c>
      <c r="C2321" t="str">
        <f>HYPERLINK("https://ois.dk/map/5444904/sfe", "Link")</f>
        <v>Link</v>
      </c>
      <c r="D2321" t="s">
        <v>1274</v>
      </c>
      <c r="E2321" s="17">
        <v>0.5</v>
      </c>
      <c r="G2321">
        <v>0.5</v>
      </c>
      <c r="Q2321" s="1"/>
      <c r="R2321" s="1"/>
    </row>
    <row r="2322" spans="1:18" ht="15.75" customHeight="1" x14ac:dyDescent="0.25">
      <c r="A2322" s="2">
        <v>5444905</v>
      </c>
      <c r="B2322">
        <v>5444905</v>
      </c>
      <c r="C2322" t="str">
        <f>HYPERLINK("https://ois.dk/map/5444905/sfe", "Link")</f>
        <v>Link</v>
      </c>
      <c r="D2322" t="s">
        <v>1275</v>
      </c>
      <c r="E2322" s="17">
        <v>0.5</v>
      </c>
      <c r="G2322">
        <v>0.5</v>
      </c>
      <c r="Q2322" s="1"/>
      <c r="R2322" s="1"/>
    </row>
    <row r="2323" spans="1:18" ht="15.75" customHeight="1" x14ac:dyDescent="0.25">
      <c r="A2323" s="2">
        <v>5444906</v>
      </c>
      <c r="B2323">
        <v>5444906</v>
      </c>
      <c r="C2323" t="str">
        <f>HYPERLINK("https://ois.dk/map/5444906/sfe", "Link")</f>
        <v>Link</v>
      </c>
      <c r="D2323" t="s">
        <v>1276</v>
      </c>
      <c r="E2323" s="17">
        <v>0.78300000000000003</v>
      </c>
      <c r="G2323">
        <v>0.5</v>
      </c>
      <c r="H2323">
        <v>0.25</v>
      </c>
      <c r="L2323">
        <v>3.3000000000000002E-2</v>
      </c>
      <c r="Q2323" s="1"/>
      <c r="R2323" s="1"/>
    </row>
    <row r="2324" spans="1:18" ht="15.75" customHeight="1" x14ac:dyDescent="0.25">
      <c r="A2324" s="2">
        <v>5444908</v>
      </c>
      <c r="B2324">
        <v>5444908</v>
      </c>
      <c r="C2324" t="str">
        <f>HYPERLINK("https://ois.dk/map/5444908/sfe", "Link")</f>
        <v>Link</v>
      </c>
      <c r="D2324" t="s">
        <v>1278</v>
      </c>
      <c r="E2324" s="17">
        <v>0.5</v>
      </c>
      <c r="G2324">
        <v>0.5</v>
      </c>
      <c r="Q2324" s="1"/>
      <c r="R2324" s="1"/>
    </row>
    <row r="2325" spans="1:18" ht="15.75" customHeight="1" x14ac:dyDescent="0.25">
      <c r="A2325" s="2">
        <v>5444909</v>
      </c>
      <c r="B2325">
        <v>5444909</v>
      </c>
      <c r="C2325" t="str">
        <f>HYPERLINK("https://ois.dk/map/5444909/sfe", "Link")</f>
        <v>Link</v>
      </c>
      <c r="D2325" t="s">
        <v>1279</v>
      </c>
      <c r="E2325" s="17">
        <v>0.5</v>
      </c>
      <c r="G2325">
        <v>0.5</v>
      </c>
      <c r="Q2325" s="1"/>
      <c r="R2325" s="1"/>
    </row>
    <row r="2326" spans="1:18" ht="15.75" customHeight="1" x14ac:dyDescent="0.25">
      <c r="A2326" s="2">
        <v>5444910</v>
      </c>
      <c r="B2326">
        <v>5444910</v>
      </c>
      <c r="C2326" t="str">
        <f>HYPERLINK("https://ois.dk/map/5444910/sfe", "Link")</f>
        <v>Link</v>
      </c>
      <c r="D2326" t="s">
        <v>1280</v>
      </c>
      <c r="E2326" s="17">
        <v>0.90200000000000002</v>
      </c>
      <c r="G2326">
        <v>0.5</v>
      </c>
      <c r="H2326">
        <v>0.25</v>
      </c>
      <c r="L2326">
        <v>0.152</v>
      </c>
      <c r="Q2326" s="1"/>
      <c r="R2326" s="1"/>
    </row>
    <row r="2327" spans="1:18" ht="15.75" customHeight="1" x14ac:dyDescent="0.25">
      <c r="A2327" s="2">
        <v>5444911</v>
      </c>
      <c r="B2327">
        <v>5444911</v>
      </c>
      <c r="C2327" t="str">
        <f>HYPERLINK("https://ois.dk/map/5444911/sfe", "Link")</f>
        <v>Link</v>
      </c>
      <c r="D2327" t="s">
        <v>1281</v>
      </c>
      <c r="E2327" s="17">
        <v>1.1539999999999999</v>
      </c>
      <c r="G2327">
        <v>0.5</v>
      </c>
      <c r="H2327">
        <v>0.25</v>
      </c>
      <c r="L2327">
        <v>0.40400000000000003</v>
      </c>
      <c r="Q2327" s="1"/>
      <c r="R2327" s="1"/>
    </row>
    <row r="2328" spans="1:18" ht="15.75" customHeight="1" x14ac:dyDescent="0.25">
      <c r="A2328" s="2">
        <v>5444912</v>
      </c>
      <c r="B2328">
        <v>5444912</v>
      </c>
      <c r="C2328" t="str">
        <f>HYPERLINK("https://ois.dk/map/5444912/sfe", "Link")</f>
        <v>Link</v>
      </c>
      <c r="D2328" t="s">
        <v>1282</v>
      </c>
      <c r="E2328" s="17">
        <v>2.3130000000000002</v>
      </c>
      <c r="G2328">
        <v>0.5</v>
      </c>
      <c r="H2328">
        <v>0.25</v>
      </c>
      <c r="L2328">
        <v>1.5629999999999999</v>
      </c>
      <c r="Q2328" s="1"/>
      <c r="R2328" s="1"/>
    </row>
    <row r="2329" spans="1:18" ht="15.75" customHeight="1" x14ac:dyDescent="0.25">
      <c r="A2329" s="2">
        <v>5444913</v>
      </c>
      <c r="B2329">
        <v>5444913</v>
      </c>
      <c r="C2329" t="str">
        <f>HYPERLINK("https://ois.dk/map/5444913/sfe", "Link")</f>
        <v>Link</v>
      </c>
      <c r="D2329" t="s">
        <v>1283</v>
      </c>
      <c r="E2329" s="17">
        <v>3.3239999999999998</v>
      </c>
      <c r="G2329">
        <v>0.5</v>
      </c>
      <c r="H2329">
        <v>0.25</v>
      </c>
      <c r="L2329">
        <v>2.5739999999999998</v>
      </c>
      <c r="Q2329" s="1"/>
      <c r="R2329" s="1"/>
    </row>
    <row r="2330" spans="1:18" ht="15.75" customHeight="1" x14ac:dyDescent="0.25">
      <c r="A2330" s="2">
        <v>5444914</v>
      </c>
      <c r="B2330">
        <v>5444914</v>
      </c>
      <c r="C2330" t="str">
        <f>HYPERLINK("https://ois.dk/map/5444914/sfe", "Link")</f>
        <v>Link</v>
      </c>
      <c r="D2330" t="s">
        <v>1284</v>
      </c>
      <c r="E2330" s="17">
        <v>0.83699999999999997</v>
      </c>
      <c r="G2330">
        <v>0.5</v>
      </c>
      <c r="H2330">
        <v>0.25</v>
      </c>
      <c r="L2330">
        <v>8.6999999999999994E-2</v>
      </c>
      <c r="Q2330" s="1"/>
      <c r="R2330" s="1"/>
    </row>
    <row r="2331" spans="1:18" ht="15.75" customHeight="1" x14ac:dyDescent="0.25">
      <c r="A2331" s="2">
        <v>5444915</v>
      </c>
      <c r="B2331">
        <v>5444915</v>
      </c>
      <c r="C2331" t="str">
        <f>HYPERLINK("https://ois.dk/map/5444915/sfe", "Link")</f>
        <v>Link</v>
      </c>
      <c r="D2331" t="s">
        <v>1285</v>
      </c>
      <c r="E2331" s="17">
        <v>0.81899999999999995</v>
      </c>
      <c r="G2331">
        <v>0.5</v>
      </c>
      <c r="H2331">
        <v>0.25</v>
      </c>
      <c r="L2331">
        <v>6.9000000000000006E-2</v>
      </c>
      <c r="Q2331" s="1"/>
      <c r="R2331" s="1"/>
    </row>
    <row r="2332" spans="1:18" ht="15.75" customHeight="1" x14ac:dyDescent="0.25">
      <c r="A2332" s="2">
        <v>5444916</v>
      </c>
      <c r="B2332">
        <v>5444916</v>
      </c>
      <c r="C2332" t="str">
        <f>HYPERLINK("https://ois.dk/map/5444916/sfe", "Link")</f>
        <v>Link</v>
      </c>
      <c r="D2332" t="s">
        <v>1286</v>
      </c>
      <c r="E2332" s="17">
        <v>0.78500000000000003</v>
      </c>
      <c r="G2332">
        <v>0.5</v>
      </c>
      <c r="H2332">
        <v>0.25</v>
      </c>
      <c r="L2332">
        <v>3.5000000000000003E-2</v>
      </c>
      <c r="Q2332" s="1"/>
      <c r="R2332" s="1"/>
    </row>
    <row r="2333" spans="1:18" ht="15.75" customHeight="1" x14ac:dyDescent="0.25">
      <c r="A2333" s="2">
        <v>5444917</v>
      </c>
      <c r="B2333">
        <v>5444917</v>
      </c>
      <c r="C2333" t="str">
        <f>HYPERLINK("https://ois.dk/map/5444917/sfe", "Link")</f>
        <v>Link</v>
      </c>
      <c r="D2333" t="s">
        <v>1287</v>
      </c>
      <c r="E2333" s="17">
        <v>2.7509999999999999</v>
      </c>
      <c r="G2333">
        <v>0.5</v>
      </c>
      <c r="H2333">
        <v>0.25</v>
      </c>
      <c r="L2333">
        <v>2.0009999999999999</v>
      </c>
      <c r="Q2333" s="1"/>
      <c r="R2333" s="1"/>
    </row>
    <row r="2334" spans="1:18" ht="15.75" customHeight="1" x14ac:dyDescent="0.25">
      <c r="A2334" s="2">
        <v>5444918</v>
      </c>
      <c r="B2334">
        <v>5444918</v>
      </c>
      <c r="C2334" t="str">
        <f>HYPERLINK("https://ois.dk/map/5444918/sfe", "Link")</f>
        <v>Link</v>
      </c>
      <c r="D2334" t="s">
        <v>1288</v>
      </c>
      <c r="E2334" s="17">
        <v>1.0509999999999999</v>
      </c>
      <c r="G2334">
        <v>0.5</v>
      </c>
      <c r="H2334">
        <v>0.25</v>
      </c>
      <c r="L2334">
        <v>0.30099999999999999</v>
      </c>
      <c r="Q2334" s="1"/>
      <c r="R2334" s="1"/>
    </row>
    <row r="2335" spans="1:18" ht="15.75" customHeight="1" x14ac:dyDescent="0.25">
      <c r="A2335" s="2">
        <v>5444919</v>
      </c>
      <c r="B2335">
        <v>5444919</v>
      </c>
      <c r="C2335" t="str">
        <f>HYPERLINK("https://ois.dk/map/5444919/sfe", "Link")</f>
        <v>Link</v>
      </c>
      <c r="D2335" t="s">
        <v>1289</v>
      </c>
      <c r="E2335" s="17">
        <v>0.91600000000000004</v>
      </c>
      <c r="G2335">
        <v>0.5</v>
      </c>
      <c r="H2335">
        <v>0.25</v>
      </c>
      <c r="L2335">
        <v>0.16600000000000001</v>
      </c>
      <c r="Q2335" s="1"/>
      <c r="R2335" s="1"/>
    </row>
    <row r="2336" spans="1:18" ht="15.75" customHeight="1" x14ac:dyDescent="0.25">
      <c r="A2336" s="2">
        <v>5444920</v>
      </c>
      <c r="B2336">
        <v>5444920</v>
      </c>
      <c r="C2336" t="str">
        <f>HYPERLINK("https://ois.dk/map/5444920/sfe", "Link")</f>
        <v>Link</v>
      </c>
      <c r="D2336" t="s">
        <v>3396</v>
      </c>
      <c r="E2336" s="17">
        <v>0.92</v>
      </c>
      <c r="F2336" t="s">
        <v>3397</v>
      </c>
      <c r="G2336">
        <v>0.5</v>
      </c>
      <c r="H2336">
        <v>0.25</v>
      </c>
      <c r="L2336">
        <v>0.17</v>
      </c>
      <c r="Q2336" s="1"/>
      <c r="R2336" s="1"/>
    </row>
    <row r="2337" spans="1:19" ht="15.75" customHeight="1" x14ac:dyDescent="0.25">
      <c r="A2337" s="2">
        <v>5444921</v>
      </c>
      <c r="B2337">
        <v>5444921</v>
      </c>
      <c r="C2337" t="str">
        <f>HYPERLINK("https://ois.dk/map/5444921/sfe", "Link")</f>
        <v>Link</v>
      </c>
      <c r="D2337" t="s">
        <v>3398</v>
      </c>
      <c r="E2337" s="17">
        <v>1.3109999999999999</v>
      </c>
      <c r="G2337">
        <v>0.5</v>
      </c>
      <c r="H2337">
        <v>0.25</v>
      </c>
      <c r="L2337">
        <v>0.56100000000000005</v>
      </c>
      <c r="Q2337" s="1"/>
      <c r="R2337" s="1"/>
    </row>
    <row r="2338" spans="1:19" ht="15.75" customHeight="1" x14ac:dyDescent="0.25">
      <c r="A2338" s="2">
        <v>5444922</v>
      </c>
      <c r="B2338">
        <v>5444922</v>
      </c>
      <c r="C2338" t="str">
        <f>HYPERLINK("https://ois.dk/map/5444922/sfe", "Link")</f>
        <v>Link</v>
      </c>
      <c r="D2338" t="s">
        <v>3399</v>
      </c>
      <c r="E2338" s="17">
        <v>0.94599999999999995</v>
      </c>
      <c r="G2338">
        <v>0.5</v>
      </c>
      <c r="H2338">
        <v>0.25</v>
      </c>
      <c r="L2338">
        <v>0.19600000000000001</v>
      </c>
      <c r="Q2338" s="1"/>
      <c r="R2338" s="1"/>
    </row>
    <row r="2339" spans="1:19" ht="15.75" customHeight="1" x14ac:dyDescent="0.25">
      <c r="A2339" s="2">
        <v>5444923</v>
      </c>
      <c r="B2339">
        <v>5444923</v>
      </c>
      <c r="C2339" t="str">
        <f>HYPERLINK("https://ois.dk/map/5444923/sfe", "Link")</f>
        <v>Link</v>
      </c>
      <c r="D2339" t="s">
        <v>3400</v>
      </c>
      <c r="E2339" s="17">
        <v>1.046</v>
      </c>
      <c r="G2339">
        <v>0.5</v>
      </c>
      <c r="H2339">
        <v>0.25</v>
      </c>
      <c r="L2339">
        <v>0.29599999999999999</v>
      </c>
      <c r="Q2339" s="1"/>
      <c r="R2339" s="1"/>
    </row>
    <row r="2340" spans="1:19" ht="15.75" customHeight="1" x14ac:dyDescent="0.25">
      <c r="A2340" s="2">
        <v>5444924</v>
      </c>
      <c r="B2340">
        <v>5444924</v>
      </c>
      <c r="C2340" t="str">
        <f>HYPERLINK("https://ois.dk/map/5444924/sfe", "Link")</f>
        <v>Link</v>
      </c>
      <c r="D2340" t="s">
        <v>3401</v>
      </c>
      <c r="E2340" s="17">
        <v>2.3210000000000002</v>
      </c>
      <c r="G2340">
        <v>0.5</v>
      </c>
      <c r="H2340">
        <v>0.25</v>
      </c>
      <c r="L2340">
        <v>1.571</v>
      </c>
      <c r="Q2340" s="1"/>
      <c r="R2340" s="1"/>
    </row>
    <row r="2341" spans="1:19" ht="15.75" customHeight="1" x14ac:dyDescent="0.25">
      <c r="A2341" s="2">
        <v>5444925</v>
      </c>
      <c r="B2341">
        <v>5444925</v>
      </c>
      <c r="C2341" t="str">
        <f>HYPERLINK("https://ois.dk/map/5444925/sfe", "Link")</f>
        <v>Link</v>
      </c>
      <c r="D2341" t="s">
        <v>3402</v>
      </c>
      <c r="E2341" s="17">
        <v>0.96899999999999997</v>
      </c>
      <c r="G2341">
        <v>0.5</v>
      </c>
      <c r="H2341">
        <v>0.25</v>
      </c>
      <c r="L2341">
        <v>0.219</v>
      </c>
      <c r="Q2341" s="1"/>
      <c r="R2341" s="1"/>
    </row>
    <row r="2342" spans="1:19" ht="15.75" customHeight="1" x14ac:dyDescent="0.25">
      <c r="A2342" s="2">
        <v>5444926</v>
      </c>
      <c r="B2342">
        <v>5444926</v>
      </c>
      <c r="C2342" t="str">
        <f>HYPERLINK("https://ois.dk/map/5444926/sfe", "Link")</f>
        <v>Link</v>
      </c>
      <c r="D2342" t="s">
        <v>3403</v>
      </c>
      <c r="E2342" s="17">
        <v>1.1830000000000001</v>
      </c>
      <c r="G2342">
        <v>0.5</v>
      </c>
      <c r="H2342">
        <v>0.25</v>
      </c>
      <c r="L2342">
        <v>0.433</v>
      </c>
      <c r="Q2342" s="1"/>
      <c r="R2342" s="1"/>
    </row>
    <row r="2343" spans="1:19" ht="15.75" customHeight="1" x14ac:dyDescent="0.25">
      <c r="A2343" s="2">
        <v>5444927</v>
      </c>
      <c r="B2343">
        <v>5444927</v>
      </c>
      <c r="C2343" t="str">
        <f>HYPERLINK("https://ois.dk/map/5444927/sfe", "Link")</f>
        <v>Link</v>
      </c>
      <c r="D2343" t="s">
        <v>3404</v>
      </c>
      <c r="E2343" s="17">
        <v>1.429</v>
      </c>
      <c r="G2343">
        <v>0.5</v>
      </c>
      <c r="H2343">
        <v>0.25</v>
      </c>
      <c r="L2343">
        <v>0.67900000000000005</v>
      </c>
      <c r="Q2343" s="1"/>
      <c r="R2343" s="1"/>
    </row>
    <row r="2344" spans="1:19" ht="15.75" customHeight="1" x14ac:dyDescent="0.25">
      <c r="A2344" s="2">
        <v>5444928</v>
      </c>
      <c r="B2344">
        <v>5444928</v>
      </c>
      <c r="C2344" t="str">
        <f>HYPERLINK("https://ois.dk/map/5444928/sfe", "Link")</f>
        <v>Link</v>
      </c>
      <c r="D2344" t="s">
        <v>3405</v>
      </c>
      <c r="E2344" s="17">
        <v>2.9060000000000001</v>
      </c>
      <c r="G2344">
        <v>0.5</v>
      </c>
      <c r="H2344">
        <v>0.25</v>
      </c>
      <c r="L2344">
        <v>2.1560000000000001</v>
      </c>
      <c r="Q2344" s="1"/>
      <c r="R2344" s="1"/>
    </row>
    <row r="2345" spans="1:19" ht="15.75" customHeight="1" x14ac:dyDescent="0.25">
      <c r="A2345" s="2">
        <v>5444929</v>
      </c>
      <c r="B2345">
        <v>5444929</v>
      </c>
      <c r="C2345" t="str">
        <f>HYPERLINK("https://ois.dk/map/5444929/sfe", "Link")</f>
        <v>Link</v>
      </c>
      <c r="D2345" t="s">
        <v>3406</v>
      </c>
      <c r="E2345" s="17">
        <v>5.9420000000000002</v>
      </c>
      <c r="G2345">
        <v>0.5</v>
      </c>
      <c r="H2345">
        <v>0.25</v>
      </c>
      <c r="L2345">
        <v>5.1920000000000002</v>
      </c>
      <c r="Q2345" s="1"/>
      <c r="R2345" s="1"/>
    </row>
    <row r="2346" spans="1:19" ht="15.75" customHeight="1" x14ac:dyDescent="0.25">
      <c r="A2346" s="2">
        <v>5444930</v>
      </c>
      <c r="B2346">
        <v>5444930</v>
      </c>
      <c r="C2346" t="str">
        <f>HYPERLINK("https://ois.dk/map/5444930/sfe", "Link")</f>
        <v>Link</v>
      </c>
      <c r="D2346" t="s">
        <v>3407</v>
      </c>
      <c r="E2346" s="17">
        <v>0.84399999999999997</v>
      </c>
      <c r="G2346">
        <v>0.5</v>
      </c>
      <c r="H2346">
        <v>0.25</v>
      </c>
      <c r="L2346">
        <v>9.4E-2</v>
      </c>
      <c r="Q2346" s="1"/>
      <c r="R2346" s="1"/>
    </row>
    <row r="2347" spans="1:19" ht="15.75" customHeight="1" x14ac:dyDescent="0.25">
      <c r="A2347" s="2">
        <v>5444931</v>
      </c>
      <c r="B2347">
        <v>5444931</v>
      </c>
      <c r="C2347" t="str">
        <f>HYPERLINK("https://ois.dk/map/5444931/sfe", "Link")</f>
        <v>Link</v>
      </c>
      <c r="D2347" t="s">
        <v>3408</v>
      </c>
      <c r="E2347" s="17">
        <v>1.137</v>
      </c>
      <c r="G2347">
        <v>0.5</v>
      </c>
      <c r="H2347">
        <v>0.25</v>
      </c>
      <c r="L2347">
        <v>0.38700000000000001</v>
      </c>
      <c r="Q2347" s="1"/>
      <c r="R2347" s="1"/>
    </row>
    <row r="2348" spans="1:19" ht="15.75" customHeight="1" x14ac:dyDescent="0.25">
      <c r="A2348" s="2">
        <v>5444932</v>
      </c>
      <c r="B2348">
        <v>5444932</v>
      </c>
      <c r="C2348" t="str">
        <f>HYPERLINK("https://ois.dk/map/5444932/sfe", "Link")</f>
        <v>Link</v>
      </c>
      <c r="D2348" t="s">
        <v>3409</v>
      </c>
      <c r="E2348" s="17">
        <v>1.3540000000000001</v>
      </c>
      <c r="G2348">
        <v>0.5</v>
      </c>
      <c r="H2348">
        <v>0.25</v>
      </c>
      <c r="L2348">
        <v>0.60399999999999998</v>
      </c>
      <c r="Q2348" s="1"/>
      <c r="R2348" s="1"/>
    </row>
    <row r="2349" spans="1:19" ht="15.75" customHeight="1" x14ac:dyDescent="0.25">
      <c r="A2349" s="2">
        <v>5444933</v>
      </c>
      <c r="B2349">
        <v>5444933</v>
      </c>
      <c r="C2349" t="str">
        <f>HYPERLINK("https://ois.dk/map/5444933/sfe", "Link")</f>
        <v>Link</v>
      </c>
      <c r="D2349" t="s">
        <v>3410</v>
      </c>
      <c r="E2349" s="17">
        <v>1.6839999999999999</v>
      </c>
      <c r="G2349">
        <v>0.5</v>
      </c>
      <c r="H2349">
        <v>0.25</v>
      </c>
      <c r="L2349">
        <v>0.93400000000000005</v>
      </c>
      <c r="Q2349" s="1"/>
      <c r="R2349" s="1"/>
    </row>
    <row r="2350" spans="1:19" ht="15.75" customHeight="1" x14ac:dyDescent="0.25">
      <c r="A2350" s="2">
        <v>5444960</v>
      </c>
      <c r="B2350">
        <v>288523</v>
      </c>
      <c r="C2350" t="str">
        <f>HYPERLINK("https://ois.dk/map/288523/sfe", "Link")</f>
        <v>Link</v>
      </c>
      <c r="D2350" t="s">
        <v>3411</v>
      </c>
      <c r="E2350" s="17">
        <v>1.5</v>
      </c>
      <c r="F2350" t="s">
        <v>3412</v>
      </c>
      <c r="G2350">
        <v>0.5</v>
      </c>
      <c r="I2350">
        <v>1</v>
      </c>
      <c r="Q2350" s="1"/>
      <c r="R2350" s="1">
        <v>1.58</v>
      </c>
      <c r="S2350">
        <v>1.39</v>
      </c>
    </row>
    <row r="2351" spans="1:19" ht="15.75" customHeight="1" x14ac:dyDescent="0.25">
      <c r="A2351" s="2">
        <v>5444960</v>
      </c>
      <c r="B2351">
        <v>288524</v>
      </c>
      <c r="C2351" t="str">
        <f>HYPERLINK("https://ois.dk/map/288524/sfe", "Link")</f>
        <v>Link</v>
      </c>
      <c r="D2351" t="s">
        <v>3411</v>
      </c>
      <c r="E2351" s="17">
        <v>0.5</v>
      </c>
      <c r="F2351" t="s">
        <v>3413</v>
      </c>
      <c r="G2351">
        <v>0.5</v>
      </c>
      <c r="Q2351" s="1"/>
      <c r="R2351" s="1"/>
      <c r="S2351">
        <v>1.39</v>
      </c>
    </row>
    <row r="2352" spans="1:19" ht="15.75" customHeight="1" x14ac:dyDescent="0.25">
      <c r="A2352" s="2">
        <v>5444960</v>
      </c>
      <c r="B2352">
        <v>288525</v>
      </c>
      <c r="C2352" t="str">
        <f>HYPERLINK("https://ois.dk/map/288525/sfe", "Link")</f>
        <v>Link</v>
      </c>
      <c r="D2352" t="s">
        <v>3411</v>
      </c>
      <c r="E2352" s="17">
        <v>0.5</v>
      </c>
      <c r="F2352" t="s">
        <v>3414</v>
      </c>
      <c r="G2352">
        <v>0.5</v>
      </c>
      <c r="Q2352" s="1"/>
      <c r="R2352" s="1"/>
      <c r="S2352">
        <v>1.39</v>
      </c>
    </row>
    <row r="2353" spans="1:19" ht="15.75" customHeight="1" x14ac:dyDescent="0.25">
      <c r="A2353" s="2">
        <v>5444960</v>
      </c>
      <c r="B2353">
        <v>288526</v>
      </c>
      <c r="C2353" t="str">
        <f>HYPERLINK("https://ois.dk/map/288526/sfe", "Link")</f>
        <v>Link</v>
      </c>
      <c r="D2353" t="s">
        <v>3411</v>
      </c>
      <c r="E2353" s="17">
        <v>0.5</v>
      </c>
      <c r="F2353" t="s">
        <v>3415</v>
      </c>
      <c r="G2353">
        <v>0.5</v>
      </c>
      <c r="Q2353" s="1"/>
      <c r="R2353" s="1"/>
      <c r="S2353">
        <v>1.39</v>
      </c>
    </row>
    <row r="2354" spans="1:19" ht="15.75" customHeight="1" x14ac:dyDescent="0.25">
      <c r="A2354" s="2">
        <v>5444960</v>
      </c>
      <c r="B2354">
        <v>288527</v>
      </c>
      <c r="C2354" t="str">
        <f>HYPERLINK("https://ois.dk/map/288527/sfe", "Link")</f>
        <v>Link</v>
      </c>
      <c r="D2354" t="s">
        <v>3411</v>
      </c>
      <c r="E2354" s="17">
        <v>1.5</v>
      </c>
      <c r="F2354" t="s">
        <v>3416</v>
      </c>
      <c r="G2354">
        <v>0.5</v>
      </c>
      <c r="I2354">
        <v>1</v>
      </c>
      <c r="Q2354" s="1"/>
      <c r="R2354" s="1">
        <v>1.58</v>
      </c>
      <c r="S2354">
        <v>1.39</v>
      </c>
    </row>
    <row r="2355" spans="1:19" ht="15.75" customHeight="1" x14ac:dyDescent="0.25">
      <c r="A2355" s="2">
        <v>5444960</v>
      </c>
      <c r="B2355">
        <v>288528</v>
      </c>
      <c r="C2355" t="str">
        <f>HYPERLINK("https://ois.dk/map/288528/sfe", "Link")</f>
        <v>Link</v>
      </c>
      <c r="D2355" t="s">
        <v>3411</v>
      </c>
      <c r="E2355" s="17">
        <v>1.5</v>
      </c>
      <c r="F2355" t="s">
        <v>3417</v>
      </c>
      <c r="G2355">
        <v>0.5</v>
      </c>
      <c r="I2355">
        <v>1</v>
      </c>
      <c r="Q2355" s="1"/>
      <c r="R2355" s="1">
        <v>1.58</v>
      </c>
      <c r="S2355">
        <v>1.39</v>
      </c>
    </row>
    <row r="2356" spans="1:19" ht="15.75" customHeight="1" x14ac:dyDescent="0.25">
      <c r="A2356" s="2">
        <v>5444960</v>
      </c>
      <c r="B2356">
        <v>288529</v>
      </c>
      <c r="C2356" t="str">
        <f>HYPERLINK("https://ois.dk/map/288529/sfe", "Link")</f>
        <v>Link</v>
      </c>
      <c r="D2356" t="s">
        <v>3411</v>
      </c>
      <c r="E2356" s="17">
        <v>0.5</v>
      </c>
      <c r="F2356" t="s">
        <v>3418</v>
      </c>
      <c r="G2356">
        <v>0.5</v>
      </c>
      <c r="Q2356" s="1"/>
      <c r="R2356" s="1"/>
      <c r="S2356">
        <v>1.39</v>
      </c>
    </row>
    <row r="2357" spans="1:19" ht="15.75" customHeight="1" x14ac:dyDescent="0.25">
      <c r="A2357" s="2">
        <v>5444960</v>
      </c>
      <c r="B2357">
        <v>288530</v>
      </c>
      <c r="C2357" t="str">
        <f>HYPERLINK("https://ois.dk/map/288530/sfe", "Link")</f>
        <v>Link</v>
      </c>
      <c r="D2357" t="s">
        <v>3411</v>
      </c>
      <c r="E2357" s="17">
        <v>0.5</v>
      </c>
      <c r="F2357" t="s">
        <v>3419</v>
      </c>
      <c r="G2357">
        <v>0.5</v>
      </c>
      <c r="Q2357" s="1"/>
      <c r="R2357" s="1"/>
      <c r="S2357">
        <v>1.39</v>
      </c>
    </row>
    <row r="2358" spans="1:19" ht="15.75" customHeight="1" x14ac:dyDescent="0.25">
      <c r="A2358" s="2">
        <v>5444960</v>
      </c>
      <c r="B2358">
        <v>288531</v>
      </c>
      <c r="C2358" t="str">
        <f>HYPERLINK("https://ois.dk/map/288531/sfe", "Link")</f>
        <v>Link</v>
      </c>
      <c r="D2358" t="s">
        <v>3411</v>
      </c>
      <c r="E2358" s="17">
        <v>0.5</v>
      </c>
      <c r="F2358" t="s">
        <v>3420</v>
      </c>
      <c r="G2358">
        <v>0.5</v>
      </c>
      <c r="Q2358" s="1"/>
      <c r="R2358" s="1"/>
      <c r="S2358">
        <v>1.39</v>
      </c>
    </row>
    <row r="2359" spans="1:19" ht="15.75" customHeight="1" x14ac:dyDescent="0.25">
      <c r="A2359" s="2">
        <v>5444960</v>
      </c>
      <c r="B2359">
        <v>288532</v>
      </c>
      <c r="C2359" t="str">
        <f>HYPERLINK("https://ois.dk/map/288532/sfe", "Link")</f>
        <v>Link</v>
      </c>
      <c r="D2359" t="s">
        <v>3411</v>
      </c>
      <c r="E2359" s="17">
        <v>0.5</v>
      </c>
      <c r="F2359" t="s">
        <v>3421</v>
      </c>
      <c r="G2359">
        <v>0.5</v>
      </c>
      <c r="Q2359" s="1"/>
      <c r="R2359" s="1"/>
      <c r="S2359">
        <v>1.39</v>
      </c>
    </row>
    <row r="2360" spans="1:19" ht="15.75" customHeight="1" x14ac:dyDescent="0.25">
      <c r="A2360" s="2">
        <v>5444960</v>
      </c>
      <c r="B2360">
        <v>288533</v>
      </c>
      <c r="C2360" t="str">
        <f>HYPERLINK("https://ois.dk/map/288533/sfe", "Link")</f>
        <v>Link</v>
      </c>
      <c r="D2360" t="s">
        <v>3411</v>
      </c>
      <c r="E2360" s="17">
        <v>1.5</v>
      </c>
      <c r="F2360" t="s">
        <v>3422</v>
      </c>
      <c r="G2360">
        <v>0.5</v>
      </c>
      <c r="I2360">
        <v>1</v>
      </c>
      <c r="Q2360" s="1"/>
      <c r="R2360" s="1">
        <v>1.58</v>
      </c>
      <c r="S2360">
        <v>1.39</v>
      </c>
    </row>
    <row r="2361" spans="1:19" ht="15.75" customHeight="1" x14ac:dyDescent="0.25">
      <c r="A2361" s="2">
        <v>5444960</v>
      </c>
      <c r="B2361">
        <v>288534</v>
      </c>
      <c r="C2361" t="str">
        <f>HYPERLINK("https://ois.dk/map/288534/sfe", "Link")</f>
        <v>Link</v>
      </c>
      <c r="D2361" t="s">
        <v>3411</v>
      </c>
      <c r="E2361" s="17">
        <v>0.5</v>
      </c>
      <c r="F2361" t="s">
        <v>3423</v>
      </c>
      <c r="G2361">
        <v>0.5</v>
      </c>
      <c r="Q2361" s="1"/>
      <c r="R2361" s="1"/>
      <c r="S2361">
        <v>1.39</v>
      </c>
    </row>
    <row r="2362" spans="1:19" ht="15.75" customHeight="1" x14ac:dyDescent="0.25">
      <c r="A2362" s="2">
        <v>5444960</v>
      </c>
      <c r="B2362">
        <v>288535</v>
      </c>
      <c r="C2362" t="str">
        <f>HYPERLINK("https://ois.dk/map/288535/sfe", "Link")</f>
        <v>Link</v>
      </c>
      <c r="D2362" t="s">
        <v>3411</v>
      </c>
      <c r="E2362" s="17">
        <v>0.5</v>
      </c>
      <c r="F2362" t="s">
        <v>3424</v>
      </c>
      <c r="G2362">
        <v>0.5</v>
      </c>
      <c r="Q2362" s="1"/>
      <c r="R2362" s="1"/>
      <c r="S2362">
        <v>1.39</v>
      </c>
    </row>
    <row r="2363" spans="1:19" ht="15.75" customHeight="1" x14ac:dyDescent="0.25">
      <c r="A2363" s="2">
        <v>5444960</v>
      </c>
      <c r="B2363">
        <v>288536</v>
      </c>
      <c r="C2363" t="str">
        <f>HYPERLINK("https://ois.dk/map/288536/sfe", "Link")</f>
        <v>Link</v>
      </c>
      <c r="D2363" t="s">
        <v>3411</v>
      </c>
      <c r="E2363" s="17">
        <v>0.5</v>
      </c>
      <c r="F2363" t="s">
        <v>3425</v>
      </c>
      <c r="G2363">
        <v>0.5</v>
      </c>
      <c r="Q2363" s="1"/>
      <c r="R2363" s="1"/>
      <c r="S2363">
        <v>1.39</v>
      </c>
    </row>
    <row r="2364" spans="1:19" ht="15.75" customHeight="1" x14ac:dyDescent="0.25">
      <c r="A2364" s="2">
        <v>5444960</v>
      </c>
      <c r="B2364">
        <v>288537</v>
      </c>
      <c r="C2364" t="str">
        <f>HYPERLINK("https://ois.dk/map/288537/sfe", "Link")</f>
        <v>Link</v>
      </c>
      <c r="D2364" t="s">
        <v>3411</v>
      </c>
      <c r="E2364" s="17">
        <v>0.5</v>
      </c>
      <c r="F2364" t="s">
        <v>3426</v>
      </c>
      <c r="G2364">
        <v>0.5</v>
      </c>
      <c r="Q2364" s="1"/>
      <c r="R2364" s="1"/>
      <c r="S2364">
        <v>1.39</v>
      </c>
    </row>
    <row r="2365" spans="1:19" ht="15.75" customHeight="1" x14ac:dyDescent="0.25">
      <c r="A2365" s="2">
        <v>5444960</v>
      </c>
      <c r="B2365">
        <v>288538</v>
      </c>
      <c r="C2365" t="str">
        <f>HYPERLINK("https://ois.dk/map/288538/sfe", "Link")</f>
        <v>Link</v>
      </c>
      <c r="D2365" t="s">
        <v>3411</v>
      </c>
      <c r="E2365" s="17">
        <v>1.5</v>
      </c>
      <c r="F2365" t="s">
        <v>3427</v>
      </c>
      <c r="G2365">
        <v>0.5</v>
      </c>
      <c r="I2365">
        <v>1</v>
      </c>
      <c r="Q2365" s="1"/>
      <c r="R2365" s="1">
        <v>1.58</v>
      </c>
      <c r="S2365">
        <v>1.39</v>
      </c>
    </row>
    <row r="2366" spans="1:19" ht="15.75" customHeight="1" x14ac:dyDescent="0.25">
      <c r="A2366" s="2">
        <v>5444960</v>
      </c>
      <c r="B2366">
        <v>288539</v>
      </c>
      <c r="C2366" t="str">
        <f>HYPERLINK("https://ois.dk/map/288539/sfe", "Link")</f>
        <v>Link</v>
      </c>
      <c r="D2366" t="s">
        <v>3411</v>
      </c>
      <c r="E2366" s="17">
        <v>1.5</v>
      </c>
      <c r="F2366" t="s">
        <v>3428</v>
      </c>
      <c r="G2366">
        <v>0.5</v>
      </c>
      <c r="I2366">
        <v>1</v>
      </c>
      <c r="Q2366" s="1"/>
      <c r="R2366" s="1">
        <v>1.58</v>
      </c>
      <c r="S2366">
        <v>1.39</v>
      </c>
    </row>
    <row r="2367" spans="1:19" ht="15.75" customHeight="1" x14ac:dyDescent="0.25">
      <c r="A2367" s="2">
        <v>5444960</v>
      </c>
      <c r="B2367">
        <v>288540</v>
      </c>
      <c r="C2367" t="str">
        <f>HYPERLINK("https://ois.dk/map/288540/sfe", "Link")</f>
        <v>Link</v>
      </c>
      <c r="D2367" t="s">
        <v>3411</v>
      </c>
      <c r="E2367" s="17">
        <v>0.5</v>
      </c>
      <c r="F2367" t="s">
        <v>3429</v>
      </c>
      <c r="G2367">
        <v>0.5</v>
      </c>
      <c r="Q2367" s="1"/>
      <c r="R2367" s="1"/>
      <c r="S2367">
        <v>1.39</v>
      </c>
    </row>
    <row r="2368" spans="1:19" ht="15.75" customHeight="1" x14ac:dyDescent="0.25">
      <c r="A2368" s="2">
        <v>5444960</v>
      </c>
      <c r="B2368">
        <v>5444960</v>
      </c>
      <c r="C2368" t="str">
        <f>HYPERLINK("https://ois.dk/map/5444960/sfe", "Link")</f>
        <v>Link</v>
      </c>
      <c r="D2368" t="s">
        <v>3411</v>
      </c>
      <c r="E2368" s="17">
        <v>0.55000000000000071</v>
      </c>
      <c r="F2368" t="s">
        <v>3430</v>
      </c>
      <c r="H2368">
        <v>0.25</v>
      </c>
      <c r="J2368">
        <v>0.3</v>
      </c>
      <c r="Q2368" s="1"/>
      <c r="R2368" s="1">
        <v>1.58</v>
      </c>
      <c r="S2368">
        <v>1.39</v>
      </c>
    </row>
    <row r="2369" spans="1:19" ht="15.75" customHeight="1" x14ac:dyDescent="0.25">
      <c r="A2369" s="2">
        <v>5444961</v>
      </c>
      <c r="B2369">
        <v>5444961</v>
      </c>
      <c r="C2369" t="str">
        <f>HYPERLINK("https://ois.dk/map/5444961/sfe", "Link")</f>
        <v>Link</v>
      </c>
      <c r="D2369" t="s">
        <v>1404</v>
      </c>
      <c r="E2369" s="17">
        <v>1.75</v>
      </c>
      <c r="F2369" t="s">
        <v>3431</v>
      </c>
      <c r="G2369">
        <v>0.5</v>
      </c>
      <c r="H2369">
        <v>0.25</v>
      </c>
      <c r="I2369">
        <v>1</v>
      </c>
      <c r="Q2369" s="1"/>
      <c r="R2369" s="1">
        <v>1.33</v>
      </c>
    </row>
    <row r="2370" spans="1:19" ht="15.75" customHeight="1" x14ac:dyDescent="0.25">
      <c r="A2370" s="2">
        <v>5444962</v>
      </c>
      <c r="B2370">
        <v>5444962</v>
      </c>
      <c r="C2370" t="str">
        <f t="shared" ref="C2370:C2397" si="59">HYPERLINK("https://ois.dk/map/5444962/sfe", "Link")</f>
        <v>Link</v>
      </c>
      <c r="D2370" t="s">
        <v>3432</v>
      </c>
      <c r="E2370" s="17">
        <v>0.54999999999999716</v>
      </c>
      <c r="F2370" t="s">
        <v>3433</v>
      </c>
      <c r="H2370">
        <v>0.25</v>
      </c>
      <c r="J2370">
        <v>0.3</v>
      </c>
      <c r="Q2370" s="1"/>
      <c r="R2370" s="1">
        <v>0.85</v>
      </c>
      <c r="S2370">
        <v>0.83</v>
      </c>
    </row>
    <row r="2371" spans="1:19" ht="15.75" customHeight="1" x14ac:dyDescent="0.25">
      <c r="A2371" s="2">
        <v>5444962</v>
      </c>
      <c r="B2371">
        <v>5444962</v>
      </c>
      <c r="C2371" t="str">
        <f t="shared" si="59"/>
        <v>Link</v>
      </c>
      <c r="D2371" t="s">
        <v>3432</v>
      </c>
      <c r="E2371" s="17">
        <v>1.5</v>
      </c>
      <c r="F2371" t="s">
        <v>3434</v>
      </c>
      <c r="G2371">
        <v>0.5</v>
      </c>
      <c r="I2371">
        <v>1</v>
      </c>
      <c r="Q2371" s="1"/>
      <c r="R2371" s="1">
        <v>0.85</v>
      </c>
      <c r="S2371">
        <v>0.83</v>
      </c>
    </row>
    <row r="2372" spans="1:19" ht="15.75" customHeight="1" x14ac:dyDescent="0.25">
      <c r="A2372" s="2">
        <v>5444962</v>
      </c>
      <c r="B2372">
        <v>5444962</v>
      </c>
      <c r="C2372" t="str">
        <f t="shared" si="59"/>
        <v>Link</v>
      </c>
      <c r="D2372" t="s">
        <v>3432</v>
      </c>
      <c r="E2372" s="17">
        <v>1.5</v>
      </c>
      <c r="F2372" t="s">
        <v>3435</v>
      </c>
      <c r="G2372">
        <v>0.5</v>
      </c>
      <c r="I2372">
        <v>1</v>
      </c>
      <c r="Q2372" s="1"/>
      <c r="R2372" s="1">
        <v>0.85</v>
      </c>
      <c r="S2372">
        <v>0.83</v>
      </c>
    </row>
    <row r="2373" spans="1:19" ht="15.75" customHeight="1" x14ac:dyDescent="0.25">
      <c r="A2373" s="2">
        <v>5444962</v>
      </c>
      <c r="B2373">
        <v>5444962</v>
      </c>
      <c r="C2373" t="str">
        <f t="shared" si="59"/>
        <v>Link</v>
      </c>
      <c r="D2373" t="s">
        <v>3432</v>
      </c>
      <c r="E2373" s="17">
        <v>1.5</v>
      </c>
      <c r="F2373" t="s">
        <v>3436</v>
      </c>
      <c r="G2373">
        <v>0.5</v>
      </c>
      <c r="I2373">
        <v>1</v>
      </c>
      <c r="Q2373" s="1"/>
      <c r="R2373" s="1">
        <v>0.85</v>
      </c>
      <c r="S2373">
        <v>0.83</v>
      </c>
    </row>
    <row r="2374" spans="1:19" ht="15.75" customHeight="1" x14ac:dyDescent="0.25">
      <c r="A2374" s="2">
        <v>5444962</v>
      </c>
      <c r="B2374">
        <v>5444962</v>
      </c>
      <c r="C2374" t="str">
        <f t="shared" si="59"/>
        <v>Link</v>
      </c>
      <c r="D2374" t="s">
        <v>3432</v>
      </c>
      <c r="E2374" s="17">
        <v>1.5</v>
      </c>
      <c r="F2374" t="s">
        <v>3433</v>
      </c>
      <c r="G2374">
        <v>0.5</v>
      </c>
      <c r="I2374">
        <v>1</v>
      </c>
      <c r="Q2374" s="1"/>
      <c r="R2374" s="1">
        <v>0.91</v>
      </c>
      <c r="S2374">
        <v>0.83</v>
      </c>
    </row>
    <row r="2375" spans="1:19" ht="15.75" customHeight="1" x14ac:dyDescent="0.25">
      <c r="A2375" s="2">
        <v>5444962</v>
      </c>
      <c r="B2375">
        <v>5444962</v>
      </c>
      <c r="C2375" t="str">
        <f t="shared" si="59"/>
        <v>Link</v>
      </c>
      <c r="D2375" t="s">
        <v>3432</v>
      </c>
      <c r="E2375" s="17">
        <v>1.5</v>
      </c>
      <c r="F2375" t="s">
        <v>3433</v>
      </c>
      <c r="G2375">
        <v>0.5</v>
      </c>
      <c r="I2375">
        <v>1</v>
      </c>
      <c r="Q2375" s="1"/>
      <c r="R2375" s="1">
        <v>0.85</v>
      </c>
      <c r="S2375">
        <v>0.83</v>
      </c>
    </row>
    <row r="2376" spans="1:19" ht="15.75" customHeight="1" x14ac:dyDescent="0.25">
      <c r="A2376" s="2">
        <v>5444962</v>
      </c>
      <c r="B2376">
        <v>5444962</v>
      </c>
      <c r="C2376" t="str">
        <f t="shared" si="59"/>
        <v>Link</v>
      </c>
      <c r="D2376" t="s">
        <v>3432</v>
      </c>
      <c r="E2376" s="17">
        <v>1.5</v>
      </c>
      <c r="F2376" t="s">
        <v>3437</v>
      </c>
      <c r="G2376">
        <v>0.5</v>
      </c>
      <c r="I2376">
        <v>1</v>
      </c>
      <c r="Q2376" s="1"/>
      <c r="R2376" s="1">
        <v>0.85</v>
      </c>
      <c r="S2376">
        <v>0.83</v>
      </c>
    </row>
    <row r="2377" spans="1:19" ht="15.75" customHeight="1" x14ac:dyDescent="0.25">
      <c r="A2377" s="2">
        <v>5444962</v>
      </c>
      <c r="B2377">
        <v>5444962</v>
      </c>
      <c r="C2377" t="str">
        <f t="shared" si="59"/>
        <v>Link</v>
      </c>
      <c r="D2377" t="s">
        <v>3432</v>
      </c>
      <c r="E2377" s="17">
        <v>1.5</v>
      </c>
      <c r="F2377" t="s">
        <v>3438</v>
      </c>
      <c r="G2377">
        <v>0.5</v>
      </c>
      <c r="I2377">
        <v>1</v>
      </c>
      <c r="Q2377" s="1"/>
      <c r="R2377" s="1">
        <v>0.85</v>
      </c>
      <c r="S2377">
        <v>0.83</v>
      </c>
    </row>
    <row r="2378" spans="1:19" ht="15.75" customHeight="1" x14ac:dyDescent="0.25">
      <c r="A2378" s="2">
        <v>5444962</v>
      </c>
      <c r="B2378">
        <v>5444962</v>
      </c>
      <c r="C2378" t="str">
        <f t="shared" si="59"/>
        <v>Link</v>
      </c>
      <c r="D2378" t="s">
        <v>3432</v>
      </c>
      <c r="E2378" s="17">
        <v>1.5</v>
      </c>
      <c r="F2378" t="s">
        <v>3439</v>
      </c>
      <c r="G2378">
        <v>0.5</v>
      </c>
      <c r="I2378">
        <v>1</v>
      </c>
      <c r="Q2378" s="1"/>
      <c r="R2378" s="1">
        <v>0.85</v>
      </c>
      <c r="S2378">
        <v>0.83</v>
      </c>
    </row>
    <row r="2379" spans="1:19" ht="15.75" customHeight="1" x14ac:dyDescent="0.25">
      <c r="A2379" s="2">
        <v>5444962</v>
      </c>
      <c r="B2379">
        <v>5444962</v>
      </c>
      <c r="C2379" t="str">
        <f t="shared" si="59"/>
        <v>Link</v>
      </c>
      <c r="D2379" t="s">
        <v>3432</v>
      </c>
      <c r="E2379" s="17">
        <v>1.5</v>
      </c>
      <c r="F2379" t="s">
        <v>3440</v>
      </c>
      <c r="G2379">
        <v>0.5</v>
      </c>
      <c r="I2379">
        <v>1</v>
      </c>
      <c r="Q2379" s="1"/>
      <c r="R2379" s="1">
        <v>0.85</v>
      </c>
      <c r="S2379">
        <v>0.83</v>
      </c>
    </row>
    <row r="2380" spans="1:19" ht="15.75" customHeight="1" x14ac:dyDescent="0.25">
      <c r="A2380" s="2">
        <v>5444962</v>
      </c>
      <c r="B2380">
        <v>5444962</v>
      </c>
      <c r="C2380" t="str">
        <f t="shared" si="59"/>
        <v>Link</v>
      </c>
      <c r="D2380" t="s">
        <v>3432</v>
      </c>
      <c r="E2380" s="17">
        <v>1.5</v>
      </c>
      <c r="F2380" t="s">
        <v>3441</v>
      </c>
      <c r="G2380">
        <v>0.5</v>
      </c>
      <c r="I2380">
        <v>1</v>
      </c>
      <c r="Q2380" s="1"/>
      <c r="R2380" s="1">
        <v>0.85</v>
      </c>
      <c r="S2380">
        <v>0.83</v>
      </c>
    </row>
    <row r="2381" spans="1:19" ht="15.75" customHeight="1" x14ac:dyDescent="0.25">
      <c r="A2381" s="2">
        <v>5444962</v>
      </c>
      <c r="B2381">
        <v>5444962</v>
      </c>
      <c r="C2381" t="str">
        <f t="shared" si="59"/>
        <v>Link</v>
      </c>
      <c r="D2381" t="s">
        <v>3432</v>
      </c>
      <c r="E2381" s="17">
        <v>1.5</v>
      </c>
      <c r="F2381" t="s">
        <v>3442</v>
      </c>
      <c r="G2381">
        <v>0.5</v>
      </c>
      <c r="I2381">
        <v>1</v>
      </c>
      <c r="Q2381" s="1"/>
      <c r="R2381" s="1">
        <v>0.85</v>
      </c>
      <c r="S2381">
        <v>0.83</v>
      </c>
    </row>
    <row r="2382" spans="1:19" ht="15.75" customHeight="1" x14ac:dyDescent="0.25">
      <c r="A2382" s="2">
        <v>5444962</v>
      </c>
      <c r="B2382">
        <v>5444962</v>
      </c>
      <c r="C2382" t="str">
        <f t="shared" si="59"/>
        <v>Link</v>
      </c>
      <c r="D2382" t="s">
        <v>3432</v>
      </c>
      <c r="E2382" s="17">
        <v>1.5</v>
      </c>
      <c r="F2382" t="s">
        <v>3443</v>
      </c>
      <c r="G2382">
        <v>0.5</v>
      </c>
      <c r="I2382">
        <v>1</v>
      </c>
      <c r="Q2382" s="1"/>
      <c r="R2382" s="1">
        <v>0.85</v>
      </c>
      <c r="S2382">
        <v>0.83</v>
      </c>
    </row>
    <row r="2383" spans="1:19" ht="15.75" customHeight="1" x14ac:dyDescent="0.25">
      <c r="A2383" s="2">
        <v>5444962</v>
      </c>
      <c r="B2383">
        <v>5444962</v>
      </c>
      <c r="C2383" t="str">
        <f t="shared" si="59"/>
        <v>Link</v>
      </c>
      <c r="D2383" t="s">
        <v>3432</v>
      </c>
      <c r="E2383" s="17">
        <v>1.5</v>
      </c>
      <c r="F2383" t="s">
        <v>3444</v>
      </c>
      <c r="G2383">
        <v>0.5</v>
      </c>
      <c r="I2383">
        <v>1</v>
      </c>
      <c r="Q2383" s="1"/>
      <c r="R2383" s="1">
        <v>0.85</v>
      </c>
      <c r="S2383">
        <v>0.83</v>
      </c>
    </row>
    <row r="2384" spans="1:19" ht="15.75" customHeight="1" x14ac:dyDescent="0.25">
      <c r="A2384" s="2">
        <v>5444962</v>
      </c>
      <c r="B2384">
        <v>5444962</v>
      </c>
      <c r="C2384" t="str">
        <f t="shared" si="59"/>
        <v>Link</v>
      </c>
      <c r="D2384" t="s">
        <v>3432</v>
      </c>
      <c r="E2384" s="17">
        <v>1.5</v>
      </c>
      <c r="F2384" t="s">
        <v>3445</v>
      </c>
      <c r="G2384">
        <v>0.5</v>
      </c>
      <c r="I2384">
        <v>1</v>
      </c>
      <c r="Q2384" s="1"/>
      <c r="R2384" s="1">
        <v>0.85</v>
      </c>
      <c r="S2384">
        <v>0.83</v>
      </c>
    </row>
    <row r="2385" spans="1:19" ht="15.75" customHeight="1" x14ac:dyDescent="0.25">
      <c r="A2385" s="2">
        <v>5444962</v>
      </c>
      <c r="B2385">
        <v>5444962</v>
      </c>
      <c r="C2385" t="str">
        <f t="shared" si="59"/>
        <v>Link</v>
      </c>
      <c r="D2385" t="s">
        <v>3432</v>
      </c>
      <c r="E2385" s="17">
        <v>1.5</v>
      </c>
      <c r="F2385" t="s">
        <v>3446</v>
      </c>
      <c r="G2385">
        <v>0.5</v>
      </c>
      <c r="I2385">
        <v>1</v>
      </c>
      <c r="Q2385" s="1"/>
      <c r="R2385" s="1">
        <v>0.85</v>
      </c>
      <c r="S2385">
        <v>0.83</v>
      </c>
    </row>
    <row r="2386" spans="1:19" ht="15.75" customHeight="1" x14ac:dyDescent="0.25">
      <c r="A2386" s="2">
        <v>5444962</v>
      </c>
      <c r="B2386">
        <v>5444962</v>
      </c>
      <c r="C2386" t="str">
        <f t="shared" si="59"/>
        <v>Link</v>
      </c>
      <c r="D2386" t="s">
        <v>3432</v>
      </c>
      <c r="E2386" s="17">
        <v>1.5</v>
      </c>
      <c r="F2386" t="s">
        <v>3447</v>
      </c>
      <c r="G2386">
        <v>0.5</v>
      </c>
      <c r="I2386">
        <v>1</v>
      </c>
      <c r="Q2386" s="1"/>
      <c r="R2386" s="1">
        <v>0.85</v>
      </c>
      <c r="S2386">
        <v>0.83</v>
      </c>
    </row>
    <row r="2387" spans="1:19" ht="15.75" customHeight="1" x14ac:dyDescent="0.25">
      <c r="A2387" s="2">
        <v>5444962</v>
      </c>
      <c r="B2387">
        <v>5444962</v>
      </c>
      <c r="C2387" t="str">
        <f t="shared" si="59"/>
        <v>Link</v>
      </c>
      <c r="D2387" t="s">
        <v>3432</v>
      </c>
      <c r="E2387" s="17">
        <v>1.5</v>
      </c>
      <c r="F2387" t="s">
        <v>3448</v>
      </c>
      <c r="G2387">
        <v>0.5</v>
      </c>
      <c r="I2387">
        <v>1</v>
      </c>
      <c r="Q2387" s="1"/>
      <c r="R2387" s="1">
        <v>0.85</v>
      </c>
      <c r="S2387">
        <v>0.83</v>
      </c>
    </row>
    <row r="2388" spans="1:19" ht="15.75" customHeight="1" x14ac:dyDescent="0.25">
      <c r="A2388" s="2">
        <v>5444962</v>
      </c>
      <c r="B2388">
        <v>5444962</v>
      </c>
      <c r="C2388" t="str">
        <f t="shared" si="59"/>
        <v>Link</v>
      </c>
      <c r="D2388" t="s">
        <v>3432</v>
      </c>
      <c r="E2388" s="17">
        <v>1.5</v>
      </c>
      <c r="F2388" t="s">
        <v>3449</v>
      </c>
      <c r="G2388">
        <v>0.5</v>
      </c>
      <c r="I2388">
        <v>1</v>
      </c>
      <c r="Q2388" s="1"/>
      <c r="R2388" s="1">
        <v>0.85</v>
      </c>
      <c r="S2388">
        <v>0.83</v>
      </c>
    </row>
    <row r="2389" spans="1:19" ht="15.75" customHeight="1" x14ac:dyDescent="0.25">
      <c r="A2389" s="2">
        <v>5444962</v>
      </c>
      <c r="B2389">
        <v>5444962</v>
      </c>
      <c r="C2389" t="str">
        <f t="shared" si="59"/>
        <v>Link</v>
      </c>
      <c r="D2389" t="s">
        <v>3432</v>
      </c>
      <c r="E2389" s="17">
        <v>1.5</v>
      </c>
      <c r="F2389" t="s">
        <v>3450</v>
      </c>
      <c r="G2389">
        <v>0.5</v>
      </c>
      <c r="I2389">
        <v>1</v>
      </c>
      <c r="Q2389" s="1"/>
      <c r="R2389" s="1">
        <v>0.85</v>
      </c>
      <c r="S2389">
        <v>0.83</v>
      </c>
    </row>
    <row r="2390" spans="1:19" ht="15.75" customHeight="1" x14ac:dyDescent="0.25">
      <c r="A2390" s="2">
        <v>5444962</v>
      </c>
      <c r="B2390">
        <v>5444962</v>
      </c>
      <c r="C2390" t="str">
        <f t="shared" si="59"/>
        <v>Link</v>
      </c>
      <c r="D2390" t="s">
        <v>3432</v>
      </c>
      <c r="E2390" s="17">
        <v>1.5</v>
      </c>
      <c r="F2390" t="s">
        <v>3451</v>
      </c>
      <c r="G2390">
        <v>0.5</v>
      </c>
      <c r="I2390">
        <v>1</v>
      </c>
      <c r="Q2390" s="1"/>
      <c r="R2390" s="1">
        <v>0.85</v>
      </c>
      <c r="S2390">
        <v>0.83</v>
      </c>
    </row>
    <row r="2391" spans="1:19" ht="15.75" customHeight="1" x14ac:dyDescent="0.25">
      <c r="A2391" s="2">
        <v>5444962</v>
      </c>
      <c r="B2391">
        <v>5444962</v>
      </c>
      <c r="C2391" t="str">
        <f t="shared" si="59"/>
        <v>Link</v>
      </c>
      <c r="D2391" t="s">
        <v>3432</v>
      </c>
      <c r="E2391" s="17">
        <v>1.5</v>
      </c>
      <c r="F2391" t="s">
        <v>3452</v>
      </c>
      <c r="G2391">
        <v>0.5</v>
      </c>
      <c r="I2391">
        <v>1</v>
      </c>
      <c r="Q2391" s="1"/>
      <c r="R2391" s="1">
        <v>0.85</v>
      </c>
      <c r="S2391">
        <v>0.83</v>
      </c>
    </row>
    <row r="2392" spans="1:19" ht="15.75" customHeight="1" x14ac:dyDescent="0.25">
      <c r="A2392" s="2">
        <v>5444962</v>
      </c>
      <c r="B2392">
        <v>5444962</v>
      </c>
      <c r="C2392" t="str">
        <f t="shared" si="59"/>
        <v>Link</v>
      </c>
      <c r="D2392" t="s">
        <v>3432</v>
      </c>
      <c r="E2392" s="17">
        <v>1.5</v>
      </c>
      <c r="F2392" t="s">
        <v>3453</v>
      </c>
      <c r="G2392">
        <v>0.5</v>
      </c>
      <c r="I2392">
        <v>1</v>
      </c>
      <c r="Q2392" s="1"/>
      <c r="R2392" s="1">
        <v>0.85</v>
      </c>
      <c r="S2392">
        <v>0.83</v>
      </c>
    </row>
    <row r="2393" spans="1:19" ht="15.75" customHeight="1" x14ac:dyDescent="0.25">
      <c r="A2393" s="2">
        <v>5444962</v>
      </c>
      <c r="B2393">
        <v>5444962</v>
      </c>
      <c r="C2393" t="str">
        <f t="shared" si="59"/>
        <v>Link</v>
      </c>
      <c r="D2393" t="s">
        <v>3432</v>
      </c>
      <c r="E2393" s="17">
        <v>1.5</v>
      </c>
      <c r="F2393" t="s">
        <v>3454</v>
      </c>
      <c r="G2393">
        <v>0.5</v>
      </c>
      <c r="I2393">
        <v>1</v>
      </c>
      <c r="Q2393" s="1"/>
      <c r="R2393" s="1">
        <v>0.85</v>
      </c>
      <c r="S2393">
        <v>0.83</v>
      </c>
    </row>
    <row r="2394" spans="1:19" ht="15.75" customHeight="1" x14ac:dyDescent="0.25">
      <c r="A2394" s="2">
        <v>5444962</v>
      </c>
      <c r="B2394">
        <v>5444962</v>
      </c>
      <c r="C2394" t="str">
        <f t="shared" si="59"/>
        <v>Link</v>
      </c>
      <c r="D2394" t="s">
        <v>3432</v>
      </c>
      <c r="E2394" s="17">
        <v>1.5</v>
      </c>
      <c r="F2394" t="s">
        <v>3455</v>
      </c>
      <c r="G2394">
        <v>0.5</v>
      </c>
      <c r="I2394">
        <v>1</v>
      </c>
      <c r="Q2394" s="1"/>
      <c r="R2394" s="1">
        <v>0.85</v>
      </c>
      <c r="S2394">
        <v>0.83</v>
      </c>
    </row>
    <row r="2395" spans="1:19" ht="15.75" customHeight="1" x14ac:dyDescent="0.25">
      <c r="A2395" s="2">
        <v>5444962</v>
      </c>
      <c r="B2395">
        <v>5444962</v>
      </c>
      <c r="C2395" t="str">
        <f t="shared" si="59"/>
        <v>Link</v>
      </c>
      <c r="D2395" t="s">
        <v>3432</v>
      </c>
      <c r="E2395" s="17">
        <v>1.5</v>
      </c>
      <c r="F2395" t="s">
        <v>3456</v>
      </c>
      <c r="G2395">
        <v>0.5</v>
      </c>
      <c r="I2395">
        <v>1</v>
      </c>
      <c r="Q2395" s="1"/>
      <c r="R2395" s="1">
        <v>0.85</v>
      </c>
      <c r="S2395">
        <v>0.83</v>
      </c>
    </row>
    <row r="2396" spans="1:19" ht="15.75" customHeight="1" x14ac:dyDescent="0.25">
      <c r="A2396" s="2">
        <v>5444962</v>
      </c>
      <c r="B2396">
        <v>5444962</v>
      </c>
      <c r="C2396" t="str">
        <f t="shared" si="59"/>
        <v>Link</v>
      </c>
      <c r="D2396" t="s">
        <v>3432</v>
      </c>
      <c r="E2396" s="17">
        <v>1.5</v>
      </c>
      <c r="F2396" t="s">
        <v>3457</v>
      </c>
      <c r="G2396">
        <v>0.5</v>
      </c>
      <c r="I2396">
        <v>1</v>
      </c>
      <c r="Q2396" s="1"/>
      <c r="R2396" s="1">
        <v>0.85</v>
      </c>
      <c r="S2396">
        <v>0.83</v>
      </c>
    </row>
    <row r="2397" spans="1:19" ht="15.75" customHeight="1" x14ac:dyDescent="0.25">
      <c r="A2397" s="2">
        <v>5444962</v>
      </c>
      <c r="B2397">
        <v>5444962</v>
      </c>
      <c r="C2397" t="str">
        <f t="shared" si="59"/>
        <v>Link</v>
      </c>
      <c r="D2397" t="s">
        <v>3432</v>
      </c>
      <c r="E2397" s="17">
        <v>1.5</v>
      </c>
      <c r="F2397" t="s">
        <v>3458</v>
      </c>
      <c r="G2397">
        <v>0.5</v>
      </c>
      <c r="I2397">
        <v>1</v>
      </c>
      <c r="Q2397" s="1"/>
      <c r="R2397" s="1">
        <v>0.85</v>
      </c>
      <c r="S2397">
        <v>0.83</v>
      </c>
    </row>
    <row r="2398" spans="1:19" ht="15.75" customHeight="1" x14ac:dyDescent="0.25">
      <c r="A2398" s="2">
        <v>5444963</v>
      </c>
      <c r="B2398">
        <v>5444963</v>
      </c>
      <c r="C2398" t="str">
        <f>HYPERLINK("https://ois.dk/map/5444963/sfe", "Link")</f>
        <v>Link</v>
      </c>
      <c r="D2398" t="s">
        <v>3459</v>
      </c>
      <c r="E2398" s="17">
        <v>0.75</v>
      </c>
      <c r="F2398" t="s">
        <v>3460</v>
      </c>
      <c r="G2398">
        <v>0.5</v>
      </c>
      <c r="H2398">
        <v>0.25</v>
      </c>
      <c r="Q2398" s="1"/>
      <c r="R2398" s="1"/>
    </row>
    <row r="2399" spans="1:19" ht="15.75" customHeight="1" x14ac:dyDescent="0.25">
      <c r="A2399" s="2">
        <v>5444964</v>
      </c>
      <c r="B2399">
        <v>5444964</v>
      </c>
      <c r="C2399" t="str">
        <f>HYPERLINK("https://ois.dk/map/5444964/sfe", "Link")</f>
        <v>Link</v>
      </c>
      <c r="D2399" t="s">
        <v>3461</v>
      </c>
      <c r="E2399" s="17">
        <v>2.0499999999999998</v>
      </c>
      <c r="F2399" t="s">
        <v>3462</v>
      </c>
      <c r="G2399">
        <v>0.5</v>
      </c>
      <c r="H2399">
        <v>0.25</v>
      </c>
      <c r="I2399">
        <v>1</v>
      </c>
      <c r="J2399">
        <v>0.3</v>
      </c>
      <c r="Q2399" s="1"/>
      <c r="R2399" s="1">
        <v>1.45</v>
      </c>
      <c r="S2399">
        <v>0.69</v>
      </c>
    </row>
    <row r="2400" spans="1:19" ht="15.75" customHeight="1" x14ac:dyDescent="0.25">
      <c r="A2400" s="2">
        <v>5444981</v>
      </c>
      <c r="B2400">
        <v>5444981</v>
      </c>
      <c r="C2400" t="str">
        <f>HYPERLINK("https://ois.dk/map/5444981/sfe", "Link")</f>
        <v>Link</v>
      </c>
      <c r="D2400" t="s">
        <v>160</v>
      </c>
      <c r="E2400" s="17">
        <v>0.75</v>
      </c>
      <c r="G2400">
        <v>0.5</v>
      </c>
      <c r="H2400">
        <v>0.25</v>
      </c>
      <c r="Q2400" s="1"/>
      <c r="R2400" s="1"/>
    </row>
    <row r="2401" spans="1:18" ht="15.75" customHeight="1" x14ac:dyDescent="0.25">
      <c r="A2401" s="2">
        <v>5444982</v>
      </c>
      <c r="B2401">
        <v>5444982</v>
      </c>
      <c r="C2401" t="str">
        <f>HYPERLINK("https://ois.dk/map/5444982/sfe", "Link")</f>
        <v>Link</v>
      </c>
      <c r="D2401" t="s">
        <v>3463</v>
      </c>
      <c r="E2401" s="17">
        <v>0.75</v>
      </c>
      <c r="G2401">
        <v>0.5</v>
      </c>
      <c r="H2401">
        <v>0.25</v>
      </c>
      <c r="Q2401" s="1"/>
      <c r="R2401" s="1"/>
    </row>
    <row r="2402" spans="1:18" ht="15.75" customHeight="1" x14ac:dyDescent="0.25">
      <c r="A2402" s="2">
        <v>5444984</v>
      </c>
      <c r="B2402">
        <v>5444984</v>
      </c>
      <c r="C2402" t="str">
        <f>HYPERLINK("https://ois.dk/map/5444984/sfe", "Link")</f>
        <v>Link</v>
      </c>
      <c r="D2402" t="s">
        <v>162</v>
      </c>
      <c r="E2402" s="17">
        <v>0.75</v>
      </c>
      <c r="F2402" t="s">
        <v>3464</v>
      </c>
      <c r="G2402">
        <v>0.5</v>
      </c>
      <c r="H2402">
        <v>0.25</v>
      </c>
      <c r="Q2402" s="1"/>
      <c r="R2402" s="1"/>
    </row>
    <row r="2403" spans="1:18" ht="15.75" customHeight="1" x14ac:dyDescent="0.25">
      <c r="A2403" s="2">
        <v>5445000</v>
      </c>
      <c r="B2403">
        <v>5445000</v>
      </c>
      <c r="C2403" t="str">
        <f>HYPERLINK("https://ois.dk/map/5445000/sfe", "Link")</f>
        <v>Link</v>
      </c>
      <c r="D2403" t="s">
        <v>178</v>
      </c>
      <c r="E2403" s="17">
        <v>0.75</v>
      </c>
      <c r="G2403">
        <v>0.5</v>
      </c>
      <c r="H2403">
        <v>0.25</v>
      </c>
      <c r="Q2403" s="1"/>
      <c r="R2403" s="1"/>
    </row>
    <row r="2404" spans="1:18" ht="15.75" customHeight="1" x14ac:dyDescent="0.25">
      <c r="A2404" s="2">
        <v>5445003</v>
      </c>
      <c r="B2404">
        <v>5445003</v>
      </c>
      <c r="C2404" t="str">
        <f>HYPERLINK("https://ois.dk/map/5445003/sfe", "Link")</f>
        <v>Link</v>
      </c>
      <c r="D2404" t="s">
        <v>3465</v>
      </c>
      <c r="E2404" s="17">
        <v>1.75</v>
      </c>
      <c r="F2404" t="s">
        <v>3466</v>
      </c>
      <c r="G2404">
        <v>0.5</v>
      </c>
      <c r="H2404">
        <v>0.25</v>
      </c>
      <c r="I2404">
        <v>1</v>
      </c>
      <c r="Q2404" s="1"/>
      <c r="R2404" s="1">
        <v>0.88</v>
      </c>
    </row>
    <row r="2405" spans="1:18" ht="15.75" customHeight="1" x14ac:dyDescent="0.25">
      <c r="A2405" s="2">
        <v>5445004</v>
      </c>
      <c r="B2405">
        <v>5445004</v>
      </c>
      <c r="C2405" t="str">
        <f>HYPERLINK("https://ois.dk/map/5445004/sfe", "Link")</f>
        <v>Link</v>
      </c>
      <c r="D2405" t="s">
        <v>3467</v>
      </c>
      <c r="E2405" s="17">
        <v>1.75</v>
      </c>
      <c r="F2405" t="s">
        <v>3468</v>
      </c>
      <c r="G2405">
        <v>0.5</v>
      </c>
      <c r="H2405">
        <v>0.25</v>
      </c>
      <c r="I2405">
        <v>1</v>
      </c>
      <c r="Q2405" s="1"/>
      <c r="R2405" s="1">
        <v>0.93</v>
      </c>
    </row>
    <row r="2406" spans="1:18" ht="15.75" customHeight="1" x14ac:dyDescent="0.25">
      <c r="A2406" s="2">
        <v>5445006</v>
      </c>
      <c r="B2406">
        <v>5445006</v>
      </c>
      <c r="C2406" t="str">
        <f>HYPERLINK("https://ois.dk/map/5445006/sfe", "Link")</f>
        <v>Link</v>
      </c>
      <c r="D2406" t="s">
        <v>373</v>
      </c>
      <c r="E2406" s="17">
        <v>0.75</v>
      </c>
      <c r="G2406">
        <v>0.5</v>
      </c>
      <c r="H2406">
        <v>0.25</v>
      </c>
      <c r="Q2406" s="1"/>
      <c r="R2406" s="1"/>
    </row>
    <row r="2407" spans="1:18" ht="15.75" customHeight="1" x14ac:dyDescent="0.25">
      <c r="A2407" s="2">
        <v>5445015</v>
      </c>
      <c r="B2407">
        <v>5445015</v>
      </c>
      <c r="C2407" t="str">
        <f>HYPERLINK("https://ois.dk/map/5445015/sfe", "Link")</f>
        <v>Link</v>
      </c>
      <c r="D2407" t="s">
        <v>387</v>
      </c>
      <c r="E2407" s="17">
        <v>0.5</v>
      </c>
      <c r="G2407">
        <v>0.5</v>
      </c>
      <c r="Q2407" s="1"/>
      <c r="R2407" s="1"/>
    </row>
    <row r="2408" spans="1:18" ht="15.75" customHeight="1" x14ac:dyDescent="0.25">
      <c r="A2408" s="2">
        <v>5445017</v>
      </c>
      <c r="B2408">
        <v>5445017</v>
      </c>
      <c r="C2408" t="str">
        <f>HYPERLINK("https://ois.dk/map/5445017/sfe", "Link")</f>
        <v>Link</v>
      </c>
      <c r="D2408" t="s">
        <v>3469</v>
      </c>
      <c r="E2408" s="17">
        <v>0.5</v>
      </c>
      <c r="G2408">
        <v>0.5</v>
      </c>
      <c r="Q2408" s="1"/>
      <c r="R2408" s="1"/>
    </row>
    <row r="2409" spans="1:18" ht="15.75" customHeight="1" x14ac:dyDescent="0.25">
      <c r="A2409" s="2">
        <v>5445019</v>
      </c>
      <c r="B2409">
        <v>5445019</v>
      </c>
      <c r="C2409" t="str">
        <f>HYPERLINK("https://ois.dk/map/5445019/sfe", "Link")</f>
        <v>Link</v>
      </c>
      <c r="D2409" t="s">
        <v>187</v>
      </c>
      <c r="E2409" s="17">
        <v>0.5</v>
      </c>
      <c r="G2409">
        <v>0.5</v>
      </c>
      <c r="Q2409" s="1"/>
      <c r="R2409" s="1"/>
    </row>
    <row r="2410" spans="1:18" ht="15.75" customHeight="1" x14ac:dyDescent="0.25">
      <c r="A2410" s="2">
        <v>5445022</v>
      </c>
      <c r="B2410">
        <v>5445022</v>
      </c>
      <c r="C2410" t="str">
        <f>HYPERLINK("https://ois.dk/map/5445022/sfe", "Link")</f>
        <v>Link</v>
      </c>
      <c r="D2410" t="s">
        <v>412</v>
      </c>
      <c r="E2410" s="17">
        <v>0.5</v>
      </c>
      <c r="G2410">
        <v>0.5</v>
      </c>
      <c r="Q2410" s="1"/>
      <c r="R2410" s="1"/>
    </row>
    <row r="2411" spans="1:18" ht="15.75" customHeight="1" x14ac:dyDescent="0.25">
      <c r="A2411" s="2">
        <v>5445024</v>
      </c>
      <c r="B2411">
        <v>5445024</v>
      </c>
      <c r="C2411" t="str">
        <f>HYPERLINK("https://ois.dk/map/5445024/sfe", "Link")</f>
        <v>Link</v>
      </c>
      <c r="D2411" t="s">
        <v>189</v>
      </c>
      <c r="E2411" s="17">
        <v>0.5</v>
      </c>
      <c r="G2411">
        <v>0.5</v>
      </c>
      <c r="Q2411" s="1"/>
      <c r="R2411" s="1"/>
    </row>
    <row r="2412" spans="1:18" ht="15.75" customHeight="1" x14ac:dyDescent="0.25">
      <c r="A2412" s="2">
        <v>5445026</v>
      </c>
      <c r="B2412">
        <v>5445026</v>
      </c>
      <c r="C2412" t="str">
        <f>HYPERLINK("https://ois.dk/map/5445026/sfe", "Link")</f>
        <v>Link</v>
      </c>
      <c r="D2412" t="s">
        <v>442</v>
      </c>
      <c r="E2412" s="17">
        <v>0.5</v>
      </c>
      <c r="G2412">
        <v>0.5</v>
      </c>
      <c r="Q2412" s="1"/>
      <c r="R2412" s="1"/>
    </row>
    <row r="2413" spans="1:18" ht="15.75" customHeight="1" x14ac:dyDescent="0.25">
      <c r="A2413" s="2">
        <v>5445029</v>
      </c>
      <c r="B2413">
        <v>5445029</v>
      </c>
      <c r="C2413" t="str">
        <f>HYPERLINK("https://ois.dk/map/5445029/sfe", "Link")</f>
        <v>Link</v>
      </c>
      <c r="D2413" t="s">
        <v>3470</v>
      </c>
      <c r="E2413" s="17">
        <v>0.53</v>
      </c>
      <c r="G2413">
        <v>0.5</v>
      </c>
      <c r="M2413">
        <v>0.03</v>
      </c>
      <c r="Q2413" s="1"/>
      <c r="R2413" s="1"/>
    </row>
    <row r="2414" spans="1:18" ht="15.75" customHeight="1" x14ac:dyDescent="0.25">
      <c r="A2414" s="2">
        <v>5445050</v>
      </c>
      <c r="B2414">
        <v>5445050</v>
      </c>
      <c r="C2414" t="str">
        <f>HYPERLINK("https://ois.dk/map/5445050/sfe", "Link")</f>
        <v>Link</v>
      </c>
      <c r="D2414" t="s">
        <v>586</v>
      </c>
      <c r="E2414" s="17">
        <v>1.75</v>
      </c>
      <c r="F2414" t="s">
        <v>3471</v>
      </c>
      <c r="G2414">
        <v>0.5</v>
      </c>
      <c r="H2414">
        <v>0.25</v>
      </c>
      <c r="I2414">
        <v>1</v>
      </c>
      <c r="Q2414" s="1"/>
      <c r="R2414" s="1">
        <v>1.33</v>
      </c>
    </row>
    <row r="2415" spans="1:18" ht="15.75" customHeight="1" x14ac:dyDescent="0.25">
      <c r="A2415" s="2">
        <v>5445057</v>
      </c>
      <c r="B2415">
        <v>5445057</v>
      </c>
      <c r="C2415" t="str">
        <f>HYPERLINK("https://ois.dk/map/5445057/sfe", "Link")</f>
        <v>Link</v>
      </c>
      <c r="D2415" t="s">
        <v>3472</v>
      </c>
      <c r="E2415" s="17">
        <v>0.5</v>
      </c>
      <c r="F2415" t="s">
        <v>3473</v>
      </c>
      <c r="G2415">
        <v>0.5</v>
      </c>
      <c r="Q2415" s="1"/>
      <c r="R2415" s="1"/>
    </row>
    <row r="2416" spans="1:18" ht="15.75" customHeight="1" x14ac:dyDescent="0.25">
      <c r="A2416" s="2">
        <v>5445059</v>
      </c>
      <c r="B2416">
        <v>5445059</v>
      </c>
      <c r="C2416" t="str">
        <f>HYPERLINK("https://ois.dk/map/5445059/sfe", "Link")</f>
        <v>Link</v>
      </c>
      <c r="D2416" t="s">
        <v>3474</v>
      </c>
      <c r="E2416" s="17">
        <v>0.5</v>
      </c>
      <c r="F2416" t="s">
        <v>3475</v>
      </c>
      <c r="G2416">
        <v>0.5</v>
      </c>
      <c r="Q2416" s="1"/>
      <c r="R2416" s="1"/>
    </row>
    <row r="2417" spans="1:18" ht="15.75" customHeight="1" x14ac:dyDescent="0.25">
      <c r="A2417" s="2">
        <v>5445060</v>
      </c>
      <c r="B2417">
        <v>5445060</v>
      </c>
      <c r="C2417" t="str">
        <f>HYPERLINK("https://ois.dk/map/5445060/sfe", "Link")</f>
        <v>Link</v>
      </c>
      <c r="D2417" t="s">
        <v>603</v>
      </c>
      <c r="E2417" s="17">
        <v>0.5</v>
      </c>
      <c r="F2417" t="s">
        <v>3476</v>
      </c>
      <c r="G2417">
        <v>0.5</v>
      </c>
      <c r="Q2417" s="1"/>
      <c r="R2417" s="1"/>
    </row>
    <row r="2418" spans="1:18" ht="15.75" customHeight="1" x14ac:dyDescent="0.25">
      <c r="A2418" s="2">
        <v>5445061</v>
      </c>
      <c r="B2418">
        <v>5445061</v>
      </c>
      <c r="C2418" t="str">
        <f>HYPERLINK("https://ois.dk/map/5445061/sfe", "Link")</f>
        <v>Link</v>
      </c>
      <c r="D2418" t="s">
        <v>605</v>
      </c>
      <c r="E2418" s="17">
        <v>0.5</v>
      </c>
      <c r="F2418" t="s">
        <v>3477</v>
      </c>
      <c r="G2418">
        <v>0.5</v>
      </c>
      <c r="Q2418" s="1"/>
      <c r="R2418" s="1"/>
    </row>
    <row r="2419" spans="1:18" ht="15.75" customHeight="1" x14ac:dyDescent="0.25">
      <c r="A2419" s="2">
        <v>5445066</v>
      </c>
      <c r="B2419">
        <v>5445066</v>
      </c>
      <c r="C2419" t="str">
        <f>HYPERLINK("https://ois.dk/map/5445066/sfe", "Link")</f>
        <v>Link</v>
      </c>
      <c r="D2419" t="s">
        <v>140</v>
      </c>
      <c r="E2419" s="17">
        <v>0.93300000000000005</v>
      </c>
      <c r="G2419">
        <v>0.5</v>
      </c>
      <c r="H2419">
        <v>0.25</v>
      </c>
      <c r="L2419">
        <v>0.183</v>
      </c>
      <c r="Q2419" s="1"/>
      <c r="R2419" s="1"/>
    </row>
    <row r="2420" spans="1:18" ht="15.75" customHeight="1" x14ac:dyDescent="0.25">
      <c r="A2420" s="2">
        <v>5445067</v>
      </c>
      <c r="B2420">
        <v>5445067</v>
      </c>
      <c r="C2420" t="str">
        <f>HYPERLINK("https://ois.dk/map/5445067/sfe", "Link")</f>
        <v>Link</v>
      </c>
      <c r="D2420" t="s">
        <v>141</v>
      </c>
      <c r="E2420" s="17">
        <v>2.5099999999999998</v>
      </c>
      <c r="G2420">
        <v>0.5</v>
      </c>
      <c r="L2420">
        <v>2.0099999999999998</v>
      </c>
      <c r="Q2420" s="1"/>
      <c r="R2420" s="1"/>
    </row>
    <row r="2421" spans="1:18" ht="15.75" customHeight="1" x14ac:dyDescent="0.25">
      <c r="A2421" s="2">
        <v>5445068</v>
      </c>
      <c r="B2421">
        <v>5445068</v>
      </c>
      <c r="C2421" t="str">
        <f>HYPERLINK("https://ois.dk/map/5445068/sfe", "Link")</f>
        <v>Link</v>
      </c>
      <c r="D2421" t="s">
        <v>234</v>
      </c>
      <c r="E2421" s="17">
        <v>0.91500000000000004</v>
      </c>
      <c r="G2421">
        <v>0.5</v>
      </c>
      <c r="H2421">
        <v>0.25</v>
      </c>
      <c r="L2421">
        <v>0.16500000000000001</v>
      </c>
      <c r="Q2421" s="1"/>
      <c r="R2421" s="1"/>
    </row>
    <row r="2422" spans="1:18" ht="15.75" customHeight="1" x14ac:dyDescent="0.25">
      <c r="A2422" s="2">
        <v>5445069</v>
      </c>
      <c r="B2422">
        <v>5445069</v>
      </c>
      <c r="C2422" t="str">
        <f>HYPERLINK("https://ois.dk/map/5445069/sfe", "Link")</f>
        <v>Link</v>
      </c>
      <c r="D2422" t="s">
        <v>1266</v>
      </c>
      <c r="E2422" s="17">
        <v>1.1619999999999999</v>
      </c>
      <c r="G2422">
        <v>0.5</v>
      </c>
      <c r="H2422">
        <v>0.25</v>
      </c>
      <c r="L2422">
        <v>0.41199999999999998</v>
      </c>
      <c r="Q2422" s="1"/>
      <c r="R2422" s="1"/>
    </row>
    <row r="2423" spans="1:18" ht="15.75" customHeight="1" x14ac:dyDescent="0.25">
      <c r="A2423" s="2">
        <v>5445070</v>
      </c>
      <c r="B2423">
        <v>5445070</v>
      </c>
      <c r="C2423" t="str">
        <f>HYPERLINK("https://ois.dk/map/5445070/sfe", "Link")</f>
        <v>Link</v>
      </c>
      <c r="D2423" t="s">
        <v>1267</v>
      </c>
      <c r="E2423" s="17">
        <v>3.5190000000000001</v>
      </c>
      <c r="G2423">
        <v>0.5</v>
      </c>
      <c r="H2423">
        <v>0.25</v>
      </c>
      <c r="L2423">
        <v>2.7690000000000001</v>
      </c>
      <c r="Q2423" s="1"/>
      <c r="R2423" s="1"/>
    </row>
    <row r="2424" spans="1:18" ht="15.75" customHeight="1" x14ac:dyDescent="0.25">
      <c r="A2424" s="2">
        <v>5445071</v>
      </c>
      <c r="B2424">
        <v>5445071</v>
      </c>
      <c r="C2424" t="str">
        <f>HYPERLINK("https://ois.dk/map/5445071/sfe", "Link")</f>
        <v>Link</v>
      </c>
      <c r="D2424" t="s">
        <v>3395</v>
      </c>
      <c r="E2424" s="17">
        <v>1.268</v>
      </c>
      <c r="G2424">
        <v>0.5</v>
      </c>
      <c r="L2424">
        <v>0.76800000000000002</v>
      </c>
      <c r="Q2424" s="1"/>
      <c r="R2424" s="1"/>
    </row>
    <row r="2425" spans="1:18" ht="15.75" customHeight="1" x14ac:dyDescent="0.25">
      <c r="A2425" s="2">
        <v>5445072</v>
      </c>
      <c r="B2425">
        <v>5445072</v>
      </c>
      <c r="C2425" t="str">
        <f>HYPERLINK("https://ois.dk/map/5445072/sfe", "Link")</f>
        <v>Link</v>
      </c>
      <c r="D2425" t="s">
        <v>1268</v>
      </c>
      <c r="E2425" s="17">
        <v>1.756</v>
      </c>
      <c r="G2425">
        <v>0.5</v>
      </c>
      <c r="L2425">
        <v>1.256</v>
      </c>
      <c r="Q2425" s="1"/>
      <c r="R2425" s="1"/>
    </row>
    <row r="2426" spans="1:18" ht="15.75" customHeight="1" x14ac:dyDescent="0.25">
      <c r="A2426" s="2">
        <v>5445073</v>
      </c>
      <c r="B2426">
        <v>5445073</v>
      </c>
      <c r="C2426" t="str">
        <f>HYPERLINK("https://ois.dk/map/5445073/sfe", "Link")</f>
        <v>Link</v>
      </c>
      <c r="D2426" t="s">
        <v>1269</v>
      </c>
      <c r="E2426" s="17">
        <v>1.4590000000000001</v>
      </c>
      <c r="G2426">
        <v>0.5</v>
      </c>
      <c r="L2426">
        <v>0.95899999999999996</v>
      </c>
      <c r="Q2426" s="1"/>
      <c r="R2426" s="1"/>
    </row>
    <row r="2427" spans="1:18" ht="15.75" customHeight="1" x14ac:dyDescent="0.25">
      <c r="A2427" s="2">
        <v>5445074</v>
      </c>
      <c r="B2427">
        <v>5445074</v>
      </c>
      <c r="C2427" t="str">
        <f>HYPERLINK("https://ois.dk/map/5445074/sfe", "Link")</f>
        <v>Link</v>
      </c>
      <c r="D2427" t="s">
        <v>1270</v>
      </c>
      <c r="E2427" s="17">
        <v>1.131</v>
      </c>
      <c r="G2427">
        <v>0.5</v>
      </c>
      <c r="L2427">
        <v>0.57899999999999996</v>
      </c>
      <c r="M2427">
        <v>5.1999999999999998E-2</v>
      </c>
      <c r="Q2427" s="1"/>
      <c r="R2427" s="1"/>
    </row>
    <row r="2428" spans="1:18" ht="15.75" customHeight="1" x14ac:dyDescent="0.25">
      <c r="A2428" s="2">
        <v>7007493</v>
      </c>
      <c r="B2428">
        <v>7007493</v>
      </c>
      <c r="C2428" t="str">
        <f>HYPERLINK("https://ois.dk/map/7007493/sfe", "Link")</f>
        <v>Link</v>
      </c>
      <c r="D2428" t="s">
        <v>3478</v>
      </c>
      <c r="E2428" s="17">
        <v>0.5</v>
      </c>
      <c r="F2428" t="s">
        <v>3479</v>
      </c>
      <c r="G2428">
        <v>0.5</v>
      </c>
      <c r="Q2428" s="1"/>
      <c r="R2428" s="1"/>
    </row>
    <row r="2429" spans="1:18" ht="15.75" customHeight="1" x14ac:dyDescent="0.25">
      <c r="A2429" s="2">
        <v>7138501</v>
      </c>
      <c r="B2429">
        <v>7138501</v>
      </c>
      <c r="C2429" t="str">
        <f t="shared" ref="C2429:C2461" si="60">HYPERLINK("https://ois.dk/map/7138501/sfe", "Link")</f>
        <v>Link</v>
      </c>
      <c r="D2429" t="s">
        <v>3480</v>
      </c>
      <c r="E2429" s="17">
        <v>0.25</v>
      </c>
      <c r="F2429" t="s">
        <v>3481</v>
      </c>
      <c r="H2429">
        <v>0.25</v>
      </c>
      <c r="Q2429" s="1"/>
      <c r="R2429" s="1"/>
    </row>
    <row r="2430" spans="1:18" ht="15.75" customHeight="1" x14ac:dyDescent="0.25">
      <c r="A2430" s="2">
        <v>7138501</v>
      </c>
      <c r="B2430">
        <v>7138501</v>
      </c>
      <c r="C2430" t="str">
        <f t="shared" si="60"/>
        <v>Link</v>
      </c>
      <c r="D2430" t="s">
        <v>3480</v>
      </c>
      <c r="E2430" s="17">
        <v>0.5</v>
      </c>
      <c r="F2430" t="s">
        <v>3482</v>
      </c>
      <c r="G2430">
        <v>0.5</v>
      </c>
      <c r="Q2430" s="1"/>
      <c r="R2430" s="1"/>
    </row>
    <row r="2431" spans="1:18" ht="15.75" customHeight="1" x14ac:dyDescent="0.25">
      <c r="A2431" s="2">
        <v>7138501</v>
      </c>
      <c r="B2431">
        <v>7138501</v>
      </c>
      <c r="C2431" t="str">
        <f t="shared" si="60"/>
        <v>Link</v>
      </c>
      <c r="D2431" t="s">
        <v>3480</v>
      </c>
      <c r="E2431" s="17">
        <v>0.5</v>
      </c>
      <c r="F2431" t="s">
        <v>3483</v>
      </c>
      <c r="G2431">
        <v>0.5</v>
      </c>
      <c r="Q2431" s="1"/>
      <c r="R2431" s="1"/>
    </row>
    <row r="2432" spans="1:18" ht="15.75" customHeight="1" x14ac:dyDescent="0.25">
      <c r="A2432" s="2">
        <v>7138501</v>
      </c>
      <c r="B2432">
        <v>7138501</v>
      </c>
      <c r="C2432" t="str">
        <f t="shared" si="60"/>
        <v>Link</v>
      </c>
      <c r="D2432" t="s">
        <v>3480</v>
      </c>
      <c r="E2432" s="17">
        <v>0.5</v>
      </c>
      <c r="F2432" t="s">
        <v>3484</v>
      </c>
      <c r="G2432">
        <v>0.5</v>
      </c>
      <c r="Q2432" s="1"/>
      <c r="R2432" s="1"/>
    </row>
    <row r="2433" spans="1:18" ht="15.75" customHeight="1" x14ac:dyDescent="0.25">
      <c r="A2433" s="2">
        <v>7138501</v>
      </c>
      <c r="B2433">
        <v>7138501</v>
      </c>
      <c r="C2433" t="str">
        <f t="shared" si="60"/>
        <v>Link</v>
      </c>
      <c r="D2433" t="s">
        <v>3480</v>
      </c>
      <c r="E2433" s="17">
        <v>0.5</v>
      </c>
      <c r="F2433" t="s">
        <v>3485</v>
      </c>
      <c r="G2433">
        <v>0.5</v>
      </c>
      <c r="Q2433" s="1"/>
      <c r="R2433" s="1"/>
    </row>
    <row r="2434" spans="1:18" ht="15.75" customHeight="1" x14ac:dyDescent="0.25">
      <c r="A2434" s="2">
        <v>7138501</v>
      </c>
      <c r="B2434">
        <v>7138501</v>
      </c>
      <c r="C2434" t="str">
        <f t="shared" si="60"/>
        <v>Link</v>
      </c>
      <c r="D2434" t="s">
        <v>3480</v>
      </c>
      <c r="E2434" s="17">
        <v>0.5</v>
      </c>
      <c r="F2434" t="s">
        <v>3486</v>
      </c>
      <c r="G2434">
        <v>0.5</v>
      </c>
      <c r="Q2434" s="1"/>
      <c r="R2434" s="1"/>
    </row>
    <row r="2435" spans="1:18" ht="15.75" customHeight="1" x14ac:dyDescent="0.25">
      <c r="A2435" s="2">
        <v>7138501</v>
      </c>
      <c r="B2435">
        <v>7138501</v>
      </c>
      <c r="C2435" t="str">
        <f t="shared" si="60"/>
        <v>Link</v>
      </c>
      <c r="D2435" t="s">
        <v>3480</v>
      </c>
      <c r="E2435" s="17">
        <v>0.5</v>
      </c>
      <c r="F2435" t="s">
        <v>3487</v>
      </c>
      <c r="G2435">
        <v>0.5</v>
      </c>
      <c r="Q2435" s="1"/>
      <c r="R2435" s="1"/>
    </row>
    <row r="2436" spans="1:18" ht="15.75" customHeight="1" x14ac:dyDescent="0.25">
      <c r="A2436" s="2">
        <v>7138501</v>
      </c>
      <c r="B2436">
        <v>7138501</v>
      </c>
      <c r="C2436" t="str">
        <f t="shared" si="60"/>
        <v>Link</v>
      </c>
      <c r="D2436" t="s">
        <v>3480</v>
      </c>
      <c r="E2436" s="17">
        <v>0.5</v>
      </c>
      <c r="F2436" t="s">
        <v>3488</v>
      </c>
      <c r="G2436">
        <v>0.5</v>
      </c>
      <c r="Q2436" s="1"/>
      <c r="R2436" s="1"/>
    </row>
    <row r="2437" spans="1:18" ht="15.75" customHeight="1" x14ac:dyDescent="0.25">
      <c r="A2437" s="2">
        <v>7138501</v>
      </c>
      <c r="B2437">
        <v>7138501</v>
      </c>
      <c r="C2437" t="str">
        <f t="shared" si="60"/>
        <v>Link</v>
      </c>
      <c r="D2437" t="s">
        <v>3480</v>
      </c>
      <c r="E2437" s="17">
        <v>0.5</v>
      </c>
      <c r="F2437" t="s">
        <v>3489</v>
      </c>
      <c r="G2437">
        <v>0.5</v>
      </c>
      <c r="Q2437" s="1"/>
      <c r="R2437" s="1"/>
    </row>
    <row r="2438" spans="1:18" ht="15.75" customHeight="1" x14ac:dyDescent="0.25">
      <c r="A2438" s="2">
        <v>7138501</v>
      </c>
      <c r="B2438">
        <v>7138501</v>
      </c>
      <c r="C2438" t="str">
        <f t="shared" si="60"/>
        <v>Link</v>
      </c>
      <c r="D2438" t="s">
        <v>3480</v>
      </c>
      <c r="E2438" s="17">
        <v>0.5</v>
      </c>
      <c r="F2438" t="s">
        <v>3490</v>
      </c>
      <c r="G2438">
        <v>0.5</v>
      </c>
      <c r="Q2438" s="1"/>
      <c r="R2438" s="1"/>
    </row>
    <row r="2439" spans="1:18" ht="15.75" customHeight="1" x14ac:dyDescent="0.25">
      <c r="A2439" s="2">
        <v>7138501</v>
      </c>
      <c r="B2439">
        <v>7138501</v>
      </c>
      <c r="C2439" t="str">
        <f t="shared" si="60"/>
        <v>Link</v>
      </c>
      <c r="D2439" t="s">
        <v>3480</v>
      </c>
      <c r="E2439" s="17">
        <v>0.5</v>
      </c>
      <c r="F2439" t="s">
        <v>3491</v>
      </c>
      <c r="G2439">
        <v>0.5</v>
      </c>
      <c r="Q2439" s="1"/>
      <c r="R2439" s="1"/>
    </row>
    <row r="2440" spans="1:18" ht="15.75" customHeight="1" x14ac:dyDescent="0.25">
      <c r="A2440" s="2">
        <v>7138501</v>
      </c>
      <c r="B2440">
        <v>7138501</v>
      </c>
      <c r="C2440" t="str">
        <f t="shared" si="60"/>
        <v>Link</v>
      </c>
      <c r="D2440" t="s">
        <v>3480</v>
      </c>
      <c r="E2440" s="17">
        <v>0.5</v>
      </c>
      <c r="F2440" t="s">
        <v>3492</v>
      </c>
      <c r="G2440">
        <v>0.5</v>
      </c>
      <c r="Q2440" s="1"/>
      <c r="R2440" s="1"/>
    </row>
    <row r="2441" spans="1:18" ht="15.75" customHeight="1" x14ac:dyDescent="0.25">
      <c r="A2441" s="2">
        <v>7138501</v>
      </c>
      <c r="B2441">
        <v>7138501</v>
      </c>
      <c r="C2441" t="str">
        <f t="shared" si="60"/>
        <v>Link</v>
      </c>
      <c r="D2441" t="s">
        <v>3480</v>
      </c>
      <c r="E2441" s="17">
        <v>0.5</v>
      </c>
      <c r="F2441" t="s">
        <v>3493</v>
      </c>
      <c r="G2441">
        <v>0.5</v>
      </c>
      <c r="Q2441" s="1"/>
      <c r="R2441" s="1"/>
    </row>
    <row r="2442" spans="1:18" ht="15.75" customHeight="1" x14ac:dyDescent="0.25">
      <c r="A2442" s="2">
        <v>7138501</v>
      </c>
      <c r="B2442">
        <v>7138501</v>
      </c>
      <c r="C2442" t="str">
        <f t="shared" si="60"/>
        <v>Link</v>
      </c>
      <c r="D2442" t="s">
        <v>3480</v>
      </c>
      <c r="E2442" s="17">
        <v>0.5</v>
      </c>
      <c r="F2442" t="s">
        <v>3494</v>
      </c>
      <c r="G2442">
        <v>0.5</v>
      </c>
      <c r="Q2442" s="1"/>
      <c r="R2442" s="1"/>
    </row>
    <row r="2443" spans="1:18" ht="15.75" customHeight="1" x14ac:dyDescent="0.25">
      <c r="A2443" s="2">
        <v>7138501</v>
      </c>
      <c r="B2443">
        <v>7138501</v>
      </c>
      <c r="C2443" t="str">
        <f t="shared" si="60"/>
        <v>Link</v>
      </c>
      <c r="D2443" t="s">
        <v>3480</v>
      </c>
      <c r="E2443" s="17">
        <v>0.5</v>
      </c>
      <c r="F2443" t="s">
        <v>3495</v>
      </c>
      <c r="G2443">
        <v>0.5</v>
      </c>
      <c r="Q2443" s="1"/>
      <c r="R2443" s="1"/>
    </row>
    <row r="2444" spans="1:18" ht="15.75" customHeight="1" x14ac:dyDescent="0.25">
      <c r="A2444" s="2">
        <v>7138501</v>
      </c>
      <c r="B2444">
        <v>7138501</v>
      </c>
      <c r="C2444" t="str">
        <f t="shared" si="60"/>
        <v>Link</v>
      </c>
      <c r="D2444" t="s">
        <v>3480</v>
      </c>
      <c r="E2444" s="17">
        <v>0.5</v>
      </c>
      <c r="F2444" t="s">
        <v>3496</v>
      </c>
      <c r="G2444">
        <v>0.5</v>
      </c>
      <c r="Q2444" s="1"/>
      <c r="R2444" s="1"/>
    </row>
    <row r="2445" spans="1:18" ht="15.75" customHeight="1" x14ac:dyDescent="0.25">
      <c r="A2445" s="2">
        <v>7138501</v>
      </c>
      <c r="B2445">
        <v>7138501</v>
      </c>
      <c r="C2445" t="str">
        <f t="shared" si="60"/>
        <v>Link</v>
      </c>
      <c r="D2445" t="s">
        <v>3480</v>
      </c>
      <c r="E2445" s="17">
        <v>0.5</v>
      </c>
      <c r="F2445" t="s">
        <v>3497</v>
      </c>
      <c r="G2445">
        <v>0.5</v>
      </c>
      <c r="Q2445" s="1"/>
      <c r="R2445" s="1"/>
    </row>
    <row r="2446" spans="1:18" ht="15.75" customHeight="1" x14ac:dyDescent="0.25">
      <c r="A2446" s="2">
        <v>7138501</v>
      </c>
      <c r="B2446">
        <v>7138501</v>
      </c>
      <c r="C2446" t="str">
        <f t="shared" si="60"/>
        <v>Link</v>
      </c>
      <c r="D2446" t="s">
        <v>3480</v>
      </c>
      <c r="E2446" s="17">
        <v>0.5</v>
      </c>
      <c r="F2446" t="s">
        <v>3498</v>
      </c>
      <c r="G2446">
        <v>0.5</v>
      </c>
      <c r="Q2446" s="1"/>
      <c r="R2446" s="1"/>
    </row>
    <row r="2447" spans="1:18" ht="15.75" customHeight="1" x14ac:dyDescent="0.25">
      <c r="A2447" s="2">
        <v>7138501</v>
      </c>
      <c r="B2447">
        <v>7138501</v>
      </c>
      <c r="C2447" t="str">
        <f t="shared" si="60"/>
        <v>Link</v>
      </c>
      <c r="D2447" t="s">
        <v>3480</v>
      </c>
      <c r="E2447" s="17">
        <v>0.5</v>
      </c>
      <c r="F2447" t="s">
        <v>3499</v>
      </c>
      <c r="G2447">
        <v>0.5</v>
      </c>
      <c r="Q2447" s="1"/>
      <c r="R2447" s="1"/>
    </row>
    <row r="2448" spans="1:18" ht="15.75" customHeight="1" x14ac:dyDescent="0.25">
      <c r="A2448" s="2">
        <v>7138501</v>
      </c>
      <c r="B2448">
        <v>7138501</v>
      </c>
      <c r="C2448" t="str">
        <f t="shared" si="60"/>
        <v>Link</v>
      </c>
      <c r="D2448" t="s">
        <v>3480</v>
      </c>
      <c r="E2448" s="17">
        <v>0.5</v>
      </c>
      <c r="F2448" t="s">
        <v>3500</v>
      </c>
      <c r="G2448">
        <v>0.5</v>
      </c>
      <c r="Q2448" s="1"/>
      <c r="R2448" s="1"/>
    </row>
    <row r="2449" spans="1:18" ht="15.75" customHeight="1" x14ac:dyDescent="0.25">
      <c r="A2449" s="2">
        <v>7138501</v>
      </c>
      <c r="B2449">
        <v>7138501</v>
      </c>
      <c r="C2449" t="str">
        <f t="shared" si="60"/>
        <v>Link</v>
      </c>
      <c r="D2449" t="s">
        <v>3480</v>
      </c>
      <c r="E2449" s="17">
        <v>0.5</v>
      </c>
      <c r="F2449" t="s">
        <v>3501</v>
      </c>
      <c r="G2449">
        <v>0.5</v>
      </c>
      <c r="Q2449" s="1"/>
      <c r="R2449" s="1"/>
    </row>
    <row r="2450" spans="1:18" ht="15.75" customHeight="1" x14ac:dyDescent="0.25">
      <c r="A2450" s="2">
        <v>7138501</v>
      </c>
      <c r="B2450">
        <v>7138501</v>
      </c>
      <c r="C2450" t="str">
        <f t="shared" si="60"/>
        <v>Link</v>
      </c>
      <c r="D2450" t="s">
        <v>3480</v>
      </c>
      <c r="E2450" s="17">
        <v>0.5</v>
      </c>
      <c r="F2450" t="s">
        <v>3502</v>
      </c>
      <c r="G2450">
        <v>0.5</v>
      </c>
      <c r="Q2450" s="1"/>
      <c r="R2450" s="1"/>
    </row>
    <row r="2451" spans="1:18" ht="15.75" customHeight="1" x14ac:dyDescent="0.25">
      <c r="A2451" s="2">
        <v>7138501</v>
      </c>
      <c r="B2451">
        <v>7138501</v>
      </c>
      <c r="C2451" t="str">
        <f t="shared" si="60"/>
        <v>Link</v>
      </c>
      <c r="D2451" t="s">
        <v>3480</v>
      </c>
      <c r="E2451" s="17">
        <v>0.5</v>
      </c>
      <c r="F2451" t="s">
        <v>3503</v>
      </c>
      <c r="G2451">
        <v>0.5</v>
      </c>
      <c r="Q2451" s="1"/>
      <c r="R2451" s="1"/>
    </row>
    <row r="2452" spans="1:18" ht="15.75" customHeight="1" x14ac:dyDescent="0.25">
      <c r="A2452" s="2">
        <v>7138501</v>
      </c>
      <c r="B2452">
        <v>7138501</v>
      </c>
      <c r="C2452" t="str">
        <f t="shared" si="60"/>
        <v>Link</v>
      </c>
      <c r="D2452" t="s">
        <v>3480</v>
      </c>
      <c r="E2452" s="17">
        <v>0.5</v>
      </c>
      <c r="F2452" t="s">
        <v>3504</v>
      </c>
      <c r="G2452">
        <v>0.5</v>
      </c>
      <c r="Q2452" s="1"/>
      <c r="R2452" s="1"/>
    </row>
    <row r="2453" spans="1:18" ht="15.75" customHeight="1" x14ac:dyDescent="0.25">
      <c r="A2453" s="2">
        <v>7138501</v>
      </c>
      <c r="B2453">
        <v>7138501</v>
      </c>
      <c r="C2453" t="str">
        <f t="shared" si="60"/>
        <v>Link</v>
      </c>
      <c r="D2453" t="s">
        <v>3480</v>
      </c>
      <c r="E2453" s="17">
        <v>0.5</v>
      </c>
      <c r="F2453" t="s">
        <v>3505</v>
      </c>
      <c r="G2453">
        <v>0.5</v>
      </c>
      <c r="Q2453" s="1"/>
      <c r="R2453" s="1"/>
    </row>
    <row r="2454" spans="1:18" ht="15.75" customHeight="1" x14ac:dyDescent="0.25">
      <c r="A2454" s="2">
        <v>7138501</v>
      </c>
      <c r="B2454">
        <v>7138501</v>
      </c>
      <c r="C2454" t="str">
        <f t="shared" si="60"/>
        <v>Link</v>
      </c>
      <c r="D2454" t="s">
        <v>3480</v>
      </c>
      <c r="E2454" s="17">
        <v>0.5</v>
      </c>
      <c r="F2454" t="s">
        <v>3506</v>
      </c>
      <c r="G2454">
        <v>0.5</v>
      </c>
      <c r="Q2454" s="1"/>
      <c r="R2454" s="1"/>
    </row>
    <row r="2455" spans="1:18" ht="15.75" customHeight="1" x14ac:dyDescent="0.25">
      <c r="A2455" s="2">
        <v>7138501</v>
      </c>
      <c r="B2455">
        <v>7138501</v>
      </c>
      <c r="C2455" t="str">
        <f t="shared" si="60"/>
        <v>Link</v>
      </c>
      <c r="D2455" t="s">
        <v>3480</v>
      </c>
      <c r="E2455" s="17">
        <v>0.5</v>
      </c>
      <c r="F2455" t="s">
        <v>3507</v>
      </c>
      <c r="G2455">
        <v>0.5</v>
      </c>
      <c r="Q2455" s="1"/>
      <c r="R2455" s="1"/>
    </row>
    <row r="2456" spans="1:18" ht="15.75" customHeight="1" x14ac:dyDescent="0.25">
      <c r="A2456" s="2">
        <v>7138501</v>
      </c>
      <c r="B2456">
        <v>7138501</v>
      </c>
      <c r="C2456" t="str">
        <f t="shared" si="60"/>
        <v>Link</v>
      </c>
      <c r="D2456" t="s">
        <v>3480</v>
      </c>
      <c r="E2456" s="17">
        <v>0.5</v>
      </c>
      <c r="F2456" t="s">
        <v>3508</v>
      </c>
      <c r="G2456">
        <v>0.5</v>
      </c>
      <c r="Q2456" s="1"/>
      <c r="R2456" s="1"/>
    </row>
    <row r="2457" spans="1:18" ht="15.75" customHeight="1" x14ac:dyDescent="0.25">
      <c r="A2457" s="2">
        <v>7138501</v>
      </c>
      <c r="B2457">
        <v>7138501</v>
      </c>
      <c r="C2457" t="str">
        <f t="shared" si="60"/>
        <v>Link</v>
      </c>
      <c r="D2457" t="s">
        <v>3480</v>
      </c>
      <c r="E2457" s="17">
        <v>0.5</v>
      </c>
      <c r="F2457" t="s">
        <v>3509</v>
      </c>
      <c r="G2457">
        <v>0.5</v>
      </c>
      <c r="Q2457" s="1"/>
      <c r="R2457" s="1"/>
    </row>
    <row r="2458" spans="1:18" ht="15.75" customHeight="1" x14ac:dyDescent="0.25">
      <c r="A2458" s="2">
        <v>7138501</v>
      </c>
      <c r="B2458">
        <v>7138501</v>
      </c>
      <c r="C2458" t="str">
        <f t="shared" si="60"/>
        <v>Link</v>
      </c>
      <c r="D2458" t="s">
        <v>3480</v>
      </c>
      <c r="E2458" s="17">
        <v>0.5</v>
      </c>
      <c r="F2458" t="s">
        <v>3510</v>
      </c>
      <c r="G2458">
        <v>0.5</v>
      </c>
      <c r="Q2458" s="1"/>
      <c r="R2458" s="1"/>
    </row>
    <row r="2459" spans="1:18" ht="15.75" customHeight="1" x14ac:dyDescent="0.25">
      <c r="A2459" s="2">
        <v>7138501</v>
      </c>
      <c r="B2459">
        <v>7138501</v>
      </c>
      <c r="C2459" t="str">
        <f t="shared" si="60"/>
        <v>Link</v>
      </c>
      <c r="D2459" t="s">
        <v>3480</v>
      </c>
      <c r="E2459" s="17">
        <v>0.5</v>
      </c>
      <c r="F2459" t="s">
        <v>3511</v>
      </c>
      <c r="G2459">
        <v>0.5</v>
      </c>
      <c r="Q2459" s="1"/>
      <c r="R2459" s="1"/>
    </row>
    <row r="2460" spans="1:18" ht="15.75" customHeight="1" x14ac:dyDescent="0.25">
      <c r="A2460" s="2">
        <v>7138501</v>
      </c>
      <c r="B2460">
        <v>7138501</v>
      </c>
      <c r="C2460" t="str">
        <f t="shared" si="60"/>
        <v>Link</v>
      </c>
      <c r="D2460" t="s">
        <v>3480</v>
      </c>
      <c r="E2460" s="17">
        <v>0.5</v>
      </c>
      <c r="F2460" t="s">
        <v>3512</v>
      </c>
      <c r="G2460">
        <v>0.5</v>
      </c>
      <c r="Q2460" s="1"/>
      <c r="R2460" s="1"/>
    </row>
    <row r="2461" spans="1:18" ht="15.75" customHeight="1" x14ac:dyDescent="0.25">
      <c r="A2461" s="2">
        <v>7138501</v>
      </c>
      <c r="B2461">
        <v>7138501</v>
      </c>
      <c r="C2461" t="str">
        <f t="shared" si="60"/>
        <v>Link</v>
      </c>
      <c r="D2461" t="s">
        <v>3480</v>
      </c>
      <c r="E2461" s="17">
        <v>0.5</v>
      </c>
      <c r="F2461" t="s">
        <v>3513</v>
      </c>
      <c r="G2461">
        <v>0.5</v>
      </c>
      <c r="Q2461" s="1"/>
      <c r="R2461" s="1"/>
    </row>
    <row r="2462" spans="1:18" ht="15.75" customHeight="1" x14ac:dyDescent="0.25">
      <c r="A2462" s="2">
        <v>7329936</v>
      </c>
      <c r="B2462">
        <v>7329936</v>
      </c>
      <c r="C2462" t="str">
        <f>HYPERLINK("https://ois.dk/map/7329936/sfe", "Link")</f>
        <v>Link</v>
      </c>
      <c r="D2462" t="s">
        <v>3514</v>
      </c>
      <c r="E2462" s="17">
        <v>0.5</v>
      </c>
      <c r="F2462" t="s">
        <v>3515</v>
      </c>
      <c r="G2462">
        <v>0.5</v>
      </c>
      <c r="Q2462" s="1"/>
      <c r="R2462" s="1"/>
    </row>
    <row r="2463" spans="1:18" ht="15.75" customHeight="1" x14ac:dyDescent="0.25">
      <c r="A2463" s="2">
        <v>7374602</v>
      </c>
      <c r="B2463">
        <v>7374602</v>
      </c>
      <c r="C2463" t="str">
        <f>HYPERLINK("https://ois.dk/map/7374602/sfe", "Link")</f>
        <v>Link</v>
      </c>
      <c r="D2463" t="s">
        <v>3516</v>
      </c>
      <c r="E2463" s="17">
        <v>0.5</v>
      </c>
      <c r="F2463" t="s">
        <v>3517</v>
      </c>
      <c r="G2463">
        <v>0.5</v>
      </c>
      <c r="Q2463" s="1"/>
      <c r="R2463" s="1"/>
    </row>
    <row r="2464" spans="1:18" ht="15.75" customHeight="1" x14ac:dyDescent="0.25">
      <c r="A2464" s="2">
        <v>7398729</v>
      </c>
      <c r="B2464">
        <v>7398729</v>
      </c>
      <c r="C2464" t="str">
        <f>HYPERLINK("https://ois.dk/map/7398729/sfe", "Link")</f>
        <v>Link</v>
      </c>
      <c r="D2464" t="s">
        <v>3518</v>
      </c>
      <c r="E2464" s="17">
        <v>0.25</v>
      </c>
      <c r="F2464" t="s">
        <v>3519</v>
      </c>
      <c r="H2464">
        <v>0.25</v>
      </c>
      <c r="Q2464" s="1"/>
      <c r="R2464" s="1">
        <v>1.78</v>
      </c>
    </row>
    <row r="2465" spans="1:19" ht="15.75" customHeight="1" x14ac:dyDescent="0.25">
      <c r="A2465" s="2">
        <v>7398729</v>
      </c>
      <c r="B2465">
        <v>7398729</v>
      </c>
      <c r="C2465" t="str">
        <f>HYPERLINK("https://ois.dk/map/7398729/sfe", "Link")</f>
        <v>Link</v>
      </c>
      <c r="D2465" t="s">
        <v>3518</v>
      </c>
      <c r="E2465" s="17">
        <v>1.5</v>
      </c>
      <c r="F2465" t="s">
        <v>3520</v>
      </c>
      <c r="G2465">
        <v>0.5</v>
      </c>
      <c r="I2465">
        <v>1</v>
      </c>
      <c r="Q2465" s="1"/>
      <c r="R2465" s="1">
        <v>1.92</v>
      </c>
    </row>
    <row r="2466" spans="1:19" ht="15.75" customHeight="1" x14ac:dyDescent="0.25">
      <c r="A2466" s="2">
        <v>7398729</v>
      </c>
      <c r="B2466">
        <v>7398729</v>
      </c>
      <c r="C2466" t="str">
        <f>HYPERLINK("https://ois.dk/map/7398729/sfe", "Link")</f>
        <v>Link</v>
      </c>
      <c r="D2466" t="s">
        <v>3518</v>
      </c>
      <c r="E2466" s="17">
        <v>1.5</v>
      </c>
      <c r="F2466" t="s">
        <v>3520</v>
      </c>
      <c r="G2466">
        <v>0.5</v>
      </c>
      <c r="I2466">
        <v>1</v>
      </c>
      <c r="Q2466" s="1"/>
      <c r="R2466" s="1">
        <v>1.78</v>
      </c>
    </row>
    <row r="2467" spans="1:19" ht="15.75" customHeight="1" x14ac:dyDescent="0.25">
      <c r="A2467" s="2">
        <v>7398729</v>
      </c>
      <c r="B2467">
        <v>7398729</v>
      </c>
      <c r="C2467" t="str">
        <f>HYPERLINK("https://ois.dk/map/7398729/sfe", "Link")</f>
        <v>Link</v>
      </c>
      <c r="D2467" t="s">
        <v>3518</v>
      </c>
      <c r="E2467" s="17">
        <v>1.5</v>
      </c>
      <c r="F2467" t="s">
        <v>3521</v>
      </c>
      <c r="G2467">
        <v>0.5</v>
      </c>
      <c r="I2467">
        <v>1</v>
      </c>
      <c r="Q2467" s="1"/>
      <c r="R2467" s="1">
        <v>1.78</v>
      </c>
    </row>
    <row r="2468" spans="1:19" ht="15.75" customHeight="1" x14ac:dyDescent="0.25">
      <c r="A2468" s="2">
        <v>7398731</v>
      </c>
      <c r="B2468">
        <v>7398731</v>
      </c>
      <c r="C2468" t="str">
        <f>HYPERLINK("https://ois.dk/map/7398731/sfe", "Link")</f>
        <v>Link</v>
      </c>
      <c r="D2468" t="s">
        <v>3522</v>
      </c>
      <c r="E2468" s="17">
        <v>2.0499999999999998</v>
      </c>
      <c r="F2468" t="s">
        <v>3523</v>
      </c>
      <c r="G2468">
        <v>0.5</v>
      </c>
      <c r="H2468">
        <v>0.25</v>
      </c>
      <c r="I2468">
        <v>1</v>
      </c>
      <c r="J2468">
        <v>0.3</v>
      </c>
      <c r="Q2468" s="1"/>
      <c r="R2468" s="1">
        <v>0.54</v>
      </c>
      <c r="S2468">
        <v>0.49</v>
      </c>
    </row>
    <row r="2469" spans="1:19" ht="15.75" customHeight="1" x14ac:dyDescent="0.25">
      <c r="A2469" s="2">
        <v>7409083</v>
      </c>
      <c r="B2469">
        <v>7409083</v>
      </c>
      <c r="C2469" t="str">
        <f>HYPERLINK("https://ois.dk/map/7409083/sfe", "Link")</f>
        <v>Link</v>
      </c>
      <c r="D2469" t="s">
        <v>3524</v>
      </c>
      <c r="E2469" s="17">
        <v>0.502</v>
      </c>
      <c r="F2469" t="s">
        <v>3525</v>
      </c>
      <c r="G2469">
        <v>0.5</v>
      </c>
      <c r="N2469">
        <v>2E-3</v>
      </c>
      <c r="Q2469" s="1"/>
      <c r="R2469" s="1"/>
    </row>
    <row r="2470" spans="1:19" ht="15.75" customHeight="1" x14ac:dyDescent="0.25">
      <c r="A2470" s="2">
        <v>7549782</v>
      </c>
      <c r="B2470">
        <v>7549782</v>
      </c>
      <c r="C2470" t="str">
        <f>HYPERLINK("https://ois.dk/map/7549782/sfe", "Link")</f>
        <v>Link</v>
      </c>
      <c r="D2470" t="s">
        <v>3526</v>
      </c>
      <c r="E2470" s="17">
        <v>1.05</v>
      </c>
      <c r="F2470" t="s">
        <v>3527</v>
      </c>
      <c r="G2470">
        <v>0.5</v>
      </c>
      <c r="H2470">
        <v>0.25</v>
      </c>
      <c r="J2470">
        <v>0.3</v>
      </c>
      <c r="Q2470" s="1"/>
      <c r="R2470" s="1"/>
      <c r="S2470">
        <v>1.52</v>
      </c>
    </row>
    <row r="2471" spans="1:19" ht="15.75" customHeight="1" x14ac:dyDescent="0.25">
      <c r="A2471" s="2">
        <v>7584620</v>
      </c>
      <c r="B2471">
        <v>7584620</v>
      </c>
      <c r="C2471" t="str">
        <f>HYPERLINK("https://ois.dk/map/7584620/sfe", "Link")</f>
        <v>Link</v>
      </c>
      <c r="D2471" t="s">
        <v>3528</v>
      </c>
      <c r="E2471" s="17">
        <v>0.53400000000000003</v>
      </c>
      <c r="F2471" t="s">
        <v>3529</v>
      </c>
      <c r="G2471">
        <v>0.5</v>
      </c>
      <c r="M2471">
        <v>5.0000000000000001E-3</v>
      </c>
      <c r="N2471">
        <v>2.9000000000000001E-2</v>
      </c>
      <c r="Q2471" s="1"/>
      <c r="R2471" s="1"/>
    </row>
    <row r="2472" spans="1:19" ht="15.75" customHeight="1" x14ac:dyDescent="0.25">
      <c r="A2472" s="2">
        <v>7584622</v>
      </c>
      <c r="B2472">
        <v>7584622</v>
      </c>
      <c r="C2472" t="str">
        <f>HYPERLINK("https://ois.dk/map/7584622/sfe", "Link")</f>
        <v>Link</v>
      </c>
      <c r="D2472" t="s">
        <v>3530</v>
      </c>
      <c r="E2472" s="17">
        <v>0.5</v>
      </c>
      <c r="F2472" t="s">
        <v>3531</v>
      </c>
      <c r="G2472">
        <v>0.5</v>
      </c>
      <c r="Q2472" s="1"/>
      <c r="R2472" s="1"/>
    </row>
    <row r="2473" spans="1:19" ht="15.75" customHeight="1" x14ac:dyDescent="0.25">
      <c r="A2473" s="2">
        <v>7584632</v>
      </c>
      <c r="B2473">
        <v>7584632</v>
      </c>
      <c r="C2473" t="str">
        <f>HYPERLINK("https://ois.dk/map/7584632/sfe", "Link")</f>
        <v>Link</v>
      </c>
      <c r="D2473" t="s">
        <v>3532</v>
      </c>
      <c r="E2473" s="17">
        <v>2.75</v>
      </c>
      <c r="F2473" t="s">
        <v>3533</v>
      </c>
      <c r="G2473">
        <v>0.5</v>
      </c>
      <c r="H2473">
        <v>0.25</v>
      </c>
      <c r="I2473">
        <v>1</v>
      </c>
      <c r="K2473">
        <v>1</v>
      </c>
      <c r="Q2473" s="1"/>
      <c r="R2473" s="1">
        <v>0.55000000000000004</v>
      </c>
    </row>
    <row r="2474" spans="1:19" ht="15.75" customHeight="1" x14ac:dyDescent="0.25">
      <c r="A2474" s="2">
        <v>7607464</v>
      </c>
      <c r="B2474">
        <v>7607464</v>
      </c>
      <c r="C2474" t="str">
        <f>HYPERLINK("https://ois.dk/map/7607464/sfe", "Link")</f>
        <v>Link</v>
      </c>
      <c r="D2474" t="s">
        <v>3534</v>
      </c>
      <c r="E2474" s="17">
        <v>1.25</v>
      </c>
      <c r="F2474" t="s">
        <v>3535</v>
      </c>
      <c r="H2474">
        <v>0.25</v>
      </c>
      <c r="K2474">
        <v>1</v>
      </c>
      <c r="Q2474" s="1"/>
      <c r="R2474" s="1">
        <v>1.32</v>
      </c>
    </row>
    <row r="2475" spans="1:19" ht="15.75" customHeight="1" x14ac:dyDescent="0.25">
      <c r="A2475" s="2">
        <v>7607464</v>
      </c>
      <c r="B2475">
        <v>7607464</v>
      </c>
      <c r="C2475" t="str">
        <f>HYPERLINK("https://ois.dk/map/7607464/sfe", "Link")</f>
        <v>Link</v>
      </c>
      <c r="D2475" t="s">
        <v>3534</v>
      </c>
      <c r="E2475" s="17">
        <v>1.5</v>
      </c>
      <c r="F2475" t="s">
        <v>3535</v>
      </c>
      <c r="G2475">
        <v>0.5</v>
      </c>
      <c r="I2475">
        <v>1</v>
      </c>
      <c r="Q2475" s="1"/>
      <c r="R2475" s="1">
        <v>1.64</v>
      </c>
    </row>
    <row r="2476" spans="1:19" ht="15.75" customHeight="1" x14ac:dyDescent="0.25">
      <c r="A2476" s="2">
        <v>7607464</v>
      </c>
      <c r="B2476">
        <v>7607464</v>
      </c>
      <c r="C2476" t="str">
        <f>HYPERLINK("https://ois.dk/map/7607464/sfe", "Link")</f>
        <v>Link</v>
      </c>
      <c r="D2476" t="s">
        <v>3534</v>
      </c>
      <c r="E2476" s="17">
        <v>1.5</v>
      </c>
      <c r="F2476" t="s">
        <v>3535</v>
      </c>
      <c r="G2476">
        <v>0.5</v>
      </c>
      <c r="I2476">
        <v>1</v>
      </c>
      <c r="Q2476" s="1"/>
      <c r="R2476" s="1">
        <v>1.32</v>
      </c>
    </row>
    <row r="2477" spans="1:19" ht="15.75" customHeight="1" x14ac:dyDescent="0.25">
      <c r="A2477" s="2">
        <v>7607464</v>
      </c>
      <c r="B2477">
        <v>7607464</v>
      </c>
      <c r="C2477" t="str">
        <f>HYPERLINK("https://ois.dk/map/7607464/sfe", "Link")</f>
        <v>Link</v>
      </c>
      <c r="D2477" t="s">
        <v>3534</v>
      </c>
      <c r="E2477" s="17">
        <v>1.5</v>
      </c>
      <c r="F2477" t="s">
        <v>3535</v>
      </c>
      <c r="G2477">
        <v>0.5</v>
      </c>
      <c r="I2477">
        <v>1</v>
      </c>
      <c r="Q2477" s="1"/>
      <c r="R2477" s="1">
        <v>1.5</v>
      </c>
    </row>
    <row r="2478" spans="1:19" ht="15.75" customHeight="1" x14ac:dyDescent="0.25">
      <c r="A2478" s="2">
        <v>7626476</v>
      </c>
      <c r="B2478">
        <v>7626476</v>
      </c>
      <c r="C2478" t="str">
        <f>HYPERLINK("https://ois.dk/map/7626476/sfe", "Link")</f>
        <v>Link</v>
      </c>
      <c r="D2478" t="s">
        <v>3536</v>
      </c>
      <c r="E2478" s="17">
        <v>4.4509999999999996</v>
      </c>
      <c r="F2478" t="s">
        <v>3537</v>
      </c>
      <c r="G2478">
        <v>0.5</v>
      </c>
      <c r="H2478">
        <v>0.25</v>
      </c>
      <c r="M2478">
        <v>3.7010000000000001</v>
      </c>
      <c r="Q2478" s="1"/>
      <c r="R2478" s="1"/>
    </row>
    <row r="2479" spans="1:19" ht="15.75" customHeight="1" x14ac:dyDescent="0.25">
      <c r="A2479" s="2">
        <v>7647200</v>
      </c>
      <c r="B2479">
        <v>7647200</v>
      </c>
      <c r="C2479" t="str">
        <f>HYPERLINK("https://ois.dk/map/7647200/sfe", "Link")</f>
        <v>Link</v>
      </c>
      <c r="D2479" t="s">
        <v>3538</v>
      </c>
      <c r="E2479" s="17">
        <v>0.75</v>
      </c>
      <c r="F2479" t="s">
        <v>3539</v>
      </c>
      <c r="G2479">
        <v>0.5</v>
      </c>
      <c r="H2479">
        <v>0.25</v>
      </c>
      <c r="Q2479" s="1"/>
      <c r="R2479" s="1"/>
    </row>
    <row r="2480" spans="1:19" ht="15.75" customHeight="1" x14ac:dyDescent="0.25">
      <c r="A2480" s="2">
        <v>7656238</v>
      </c>
      <c r="B2480">
        <v>7656238</v>
      </c>
      <c r="C2480" t="str">
        <f>HYPERLINK("https://ois.dk/map/7656238/sfe", "Link")</f>
        <v>Link</v>
      </c>
      <c r="D2480" t="s">
        <v>3540</v>
      </c>
      <c r="E2480" s="17">
        <v>0.5</v>
      </c>
      <c r="F2480" t="s">
        <v>3541</v>
      </c>
      <c r="G2480">
        <v>0.5</v>
      </c>
      <c r="Q2480" s="1"/>
      <c r="R2480" s="1"/>
    </row>
    <row r="2481" spans="1:18" ht="15.75" customHeight="1" x14ac:dyDescent="0.25">
      <c r="A2481" s="2">
        <v>7804036</v>
      </c>
      <c r="B2481">
        <v>7804036</v>
      </c>
      <c r="C2481" t="str">
        <f>HYPERLINK("https://ois.dk/map/7804036/sfe", "Link")</f>
        <v>Link</v>
      </c>
      <c r="D2481" t="s">
        <v>3542</v>
      </c>
      <c r="E2481" s="17">
        <v>4.5500000000000007</v>
      </c>
      <c r="F2481" t="s">
        <v>3543</v>
      </c>
      <c r="H2481">
        <v>0.25</v>
      </c>
      <c r="J2481">
        <v>0.3</v>
      </c>
      <c r="K2481">
        <v>4</v>
      </c>
      <c r="Q2481" s="1"/>
      <c r="R2481" s="1">
        <v>1.0900000000000001</v>
      </c>
    </row>
    <row r="2482" spans="1:18" ht="15.75" customHeight="1" x14ac:dyDescent="0.25">
      <c r="A2482" s="2">
        <v>7804036</v>
      </c>
      <c r="B2482">
        <v>7804036</v>
      </c>
      <c r="C2482" t="str">
        <f>HYPERLINK("https://ois.dk/map/7804036/sfe", "Link")</f>
        <v>Link</v>
      </c>
      <c r="D2482" t="s">
        <v>3542</v>
      </c>
      <c r="E2482" s="17">
        <v>1.5</v>
      </c>
      <c r="F2482" t="s">
        <v>3543</v>
      </c>
      <c r="G2482">
        <v>0.5</v>
      </c>
      <c r="I2482">
        <v>1</v>
      </c>
      <c r="Q2482" s="1"/>
      <c r="R2482" s="1">
        <v>1.34</v>
      </c>
    </row>
    <row r="2483" spans="1:18" ht="15.75" customHeight="1" x14ac:dyDescent="0.25">
      <c r="A2483" s="2">
        <v>7804036</v>
      </c>
      <c r="B2483">
        <v>7804036</v>
      </c>
      <c r="C2483" t="str">
        <f>HYPERLINK("https://ois.dk/map/7804036/sfe", "Link")</f>
        <v>Link</v>
      </c>
      <c r="D2483" t="s">
        <v>3542</v>
      </c>
      <c r="E2483" s="17">
        <v>1.5</v>
      </c>
      <c r="F2483" t="s">
        <v>3543</v>
      </c>
      <c r="G2483">
        <v>0.5</v>
      </c>
      <c r="I2483">
        <v>1</v>
      </c>
      <c r="Q2483" s="1"/>
      <c r="R2483" s="1">
        <v>1.0900000000000001</v>
      </c>
    </row>
    <row r="2484" spans="1:18" ht="15.75" customHeight="1" x14ac:dyDescent="0.25">
      <c r="A2484" s="2">
        <v>7804036</v>
      </c>
      <c r="B2484">
        <v>7804036</v>
      </c>
      <c r="C2484" t="str">
        <f>HYPERLINK("https://ois.dk/map/7804036/sfe", "Link")</f>
        <v>Link</v>
      </c>
      <c r="D2484" t="s">
        <v>3542</v>
      </c>
      <c r="E2484" s="17">
        <v>1.5</v>
      </c>
      <c r="F2484" t="s">
        <v>3543</v>
      </c>
      <c r="G2484">
        <v>0.5</v>
      </c>
      <c r="I2484">
        <v>1</v>
      </c>
      <c r="Q2484" s="1"/>
      <c r="R2484" s="1">
        <v>1.34</v>
      </c>
    </row>
    <row r="2485" spans="1:18" ht="15.75" customHeight="1" x14ac:dyDescent="0.25">
      <c r="A2485" s="2">
        <v>7826950</v>
      </c>
      <c r="B2485">
        <v>7826950</v>
      </c>
      <c r="C2485" t="str">
        <f>HYPERLINK("https://ois.dk/map/7826950/sfe", "Link")</f>
        <v>Link</v>
      </c>
      <c r="D2485" t="s">
        <v>3544</v>
      </c>
      <c r="E2485" s="17">
        <v>0.97899999999999998</v>
      </c>
      <c r="F2485" t="s">
        <v>3545</v>
      </c>
      <c r="G2485">
        <v>0.5</v>
      </c>
      <c r="M2485">
        <v>0.47199999999999998</v>
      </c>
      <c r="N2485">
        <v>7.0000000000000001E-3</v>
      </c>
      <c r="Q2485" s="1"/>
      <c r="R2485" s="1"/>
    </row>
    <row r="2486" spans="1:18" ht="15.75" customHeight="1" x14ac:dyDescent="0.25">
      <c r="A2486" s="2">
        <v>7836847</v>
      </c>
      <c r="B2486">
        <v>7836847</v>
      </c>
      <c r="C2486" t="str">
        <f>HYPERLINK("https://ois.dk/map/7836847/sfe", "Link")</f>
        <v>Link</v>
      </c>
      <c r="D2486" t="s">
        <v>3546</v>
      </c>
      <c r="E2486" s="17">
        <v>0.75</v>
      </c>
      <c r="F2486" t="s">
        <v>3547</v>
      </c>
      <c r="G2486">
        <v>0.5</v>
      </c>
      <c r="H2486">
        <v>0.25</v>
      </c>
      <c r="Q2486" s="1"/>
      <c r="R2486" s="1"/>
    </row>
    <row r="2487" spans="1:18" ht="15.75" customHeight="1" x14ac:dyDescent="0.25">
      <c r="A2487" s="2">
        <v>7845248</v>
      </c>
      <c r="B2487">
        <v>7845248</v>
      </c>
      <c r="C2487" t="str">
        <f>HYPERLINK("https://ois.dk/map/7845248/sfe", "Link")</f>
        <v>Link</v>
      </c>
      <c r="D2487" t="s">
        <v>3548</v>
      </c>
      <c r="E2487" s="17">
        <v>1.75</v>
      </c>
      <c r="F2487" t="s">
        <v>3549</v>
      </c>
      <c r="G2487">
        <v>0.5</v>
      </c>
      <c r="H2487">
        <v>0.25</v>
      </c>
      <c r="I2487">
        <v>1</v>
      </c>
      <c r="Q2487" s="1"/>
      <c r="R2487" s="1">
        <v>1.81</v>
      </c>
    </row>
    <row r="2488" spans="1:18" ht="15.75" customHeight="1" x14ac:dyDescent="0.25">
      <c r="A2488" s="2">
        <v>7845249</v>
      </c>
      <c r="B2488">
        <v>7845249</v>
      </c>
      <c r="C2488" t="str">
        <f>HYPERLINK("https://ois.dk/map/7845249/sfe", "Link")</f>
        <v>Link</v>
      </c>
      <c r="D2488" t="s">
        <v>3550</v>
      </c>
      <c r="E2488" s="17">
        <v>5.5529999999999999</v>
      </c>
      <c r="F2488" t="s">
        <v>3551</v>
      </c>
      <c r="G2488">
        <v>0.5</v>
      </c>
      <c r="H2488">
        <v>0.25</v>
      </c>
      <c r="I2488">
        <v>1</v>
      </c>
      <c r="M2488">
        <v>3.7869999999999999</v>
      </c>
      <c r="N2488">
        <v>1.6E-2</v>
      </c>
      <c r="Q2488" s="1"/>
      <c r="R2488" s="1">
        <v>1.06</v>
      </c>
    </row>
    <row r="2489" spans="1:18" ht="15.75" customHeight="1" x14ac:dyDescent="0.25">
      <c r="A2489" s="2">
        <v>7858513</v>
      </c>
      <c r="B2489">
        <v>7858513</v>
      </c>
      <c r="C2489" t="str">
        <f t="shared" ref="C2489:C2494" si="61">HYPERLINK("https://ois.dk/map/7858513/sfe", "Link")</f>
        <v>Link</v>
      </c>
      <c r="D2489" t="s">
        <v>3552</v>
      </c>
      <c r="E2489" s="17">
        <v>0.5</v>
      </c>
      <c r="F2489" t="s">
        <v>3553</v>
      </c>
      <c r="G2489">
        <v>0.5</v>
      </c>
      <c r="Q2489" s="1"/>
      <c r="R2489" s="1"/>
    </row>
    <row r="2490" spans="1:18" ht="15.75" customHeight="1" x14ac:dyDescent="0.25">
      <c r="A2490" s="2">
        <v>7858513</v>
      </c>
      <c r="B2490">
        <v>7858513</v>
      </c>
      <c r="C2490" t="str">
        <f t="shared" si="61"/>
        <v>Link</v>
      </c>
      <c r="D2490" t="s">
        <v>3552</v>
      </c>
      <c r="E2490" s="17">
        <v>0.5</v>
      </c>
      <c r="F2490" t="s">
        <v>3554</v>
      </c>
      <c r="G2490">
        <v>0.5</v>
      </c>
      <c r="Q2490" s="1"/>
      <c r="R2490" s="1"/>
    </row>
    <row r="2491" spans="1:18" ht="15.75" customHeight="1" x14ac:dyDescent="0.25">
      <c r="A2491" s="2">
        <v>7858513</v>
      </c>
      <c r="B2491">
        <v>7858513</v>
      </c>
      <c r="C2491" t="str">
        <f t="shared" si="61"/>
        <v>Link</v>
      </c>
      <c r="D2491" t="s">
        <v>3552</v>
      </c>
      <c r="E2491" s="17">
        <v>0.5</v>
      </c>
      <c r="F2491" t="s">
        <v>3555</v>
      </c>
      <c r="G2491">
        <v>0.5</v>
      </c>
      <c r="Q2491" s="1"/>
      <c r="R2491" s="1"/>
    </row>
    <row r="2492" spans="1:18" ht="15.75" customHeight="1" x14ac:dyDescent="0.25">
      <c r="A2492" s="2">
        <v>7858513</v>
      </c>
      <c r="B2492">
        <v>7858513</v>
      </c>
      <c r="C2492" t="str">
        <f t="shared" si="61"/>
        <v>Link</v>
      </c>
      <c r="D2492" t="s">
        <v>3552</v>
      </c>
      <c r="E2492" s="17">
        <v>0.5</v>
      </c>
      <c r="F2492" t="s">
        <v>3556</v>
      </c>
      <c r="G2492">
        <v>0.5</v>
      </c>
      <c r="Q2492" s="1"/>
      <c r="R2492" s="1"/>
    </row>
    <row r="2493" spans="1:18" ht="15.75" customHeight="1" x14ac:dyDescent="0.25">
      <c r="A2493" s="2">
        <v>7858513</v>
      </c>
      <c r="B2493">
        <v>7858513</v>
      </c>
      <c r="C2493" t="str">
        <f t="shared" si="61"/>
        <v>Link</v>
      </c>
      <c r="D2493" t="s">
        <v>3552</v>
      </c>
      <c r="E2493" s="17">
        <v>0.5</v>
      </c>
      <c r="F2493" t="s">
        <v>3557</v>
      </c>
      <c r="G2493">
        <v>0.5</v>
      </c>
      <c r="Q2493" s="1"/>
      <c r="R2493" s="1"/>
    </row>
    <row r="2494" spans="1:18" ht="15.75" customHeight="1" x14ac:dyDescent="0.25">
      <c r="A2494" s="2">
        <v>7858513</v>
      </c>
      <c r="B2494">
        <v>7858513</v>
      </c>
      <c r="C2494" t="str">
        <f t="shared" si="61"/>
        <v>Link</v>
      </c>
      <c r="D2494" t="s">
        <v>3552</v>
      </c>
      <c r="E2494" s="17">
        <v>0.5</v>
      </c>
      <c r="F2494" t="s">
        <v>3558</v>
      </c>
      <c r="G2494">
        <v>0.5</v>
      </c>
      <c r="Q2494" s="1"/>
      <c r="R2494" s="1"/>
    </row>
    <row r="2495" spans="1:18" ht="15.75" customHeight="1" x14ac:dyDescent="0.25">
      <c r="A2495" s="2">
        <v>7875207</v>
      </c>
      <c r="B2495">
        <v>7875207</v>
      </c>
      <c r="C2495" t="str">
        <f t="shared" ref="C2495:C2500" si="62">HYPERLINK("https://ois.dk/map/7875207/sfe", "Link")</f>
        <v>Link</v>
      </c>
      <c r="D2495" t="s">
        <v>3559</v>
      </c>
      <c r="E2495" s="17">
        <v>2.25</v>
      </c>
      <c r="F2495" t="s">
        <v>3560</v>
      </c>
      <c r="H2495">
        <v>0.25</v>
      </c>
      <c r="K2495">
        <v>2</v>
      </c>
      <c r="Q2495" s="1"/>
      <c r="R2495" s="1">
        <v>0.66</v>
      </c>
    </row>
    <row r="2496" spans="1:18" ht="15.75" customHeight="1" x14ac:dyDescent="0.25">
      <c r="A2496" s="2">
        <v>7875207</v>
      </c>
      <c r="B2496">
        <v>7875207</v>
      </c>
      <c r="C2496" t="str">
        <f t="shared" si="62"/>
        <v>Link</v>
      </c>
      <c r="D2496" t="s">
        <v>3559</v>
      </c>
      <c r="E2496" s="17">
        <v>0.5</v>
      </c>
      <c r="F2496" t="s">
        <v>3560</v>
      </c>
      <c r="G2496">
        <v>0.5</v>
      </c>
      <c r="Q2496" s="1"/>
      <c r="R2496" s="1"/>
    </row>
    <row r="2497" spans="1:18" ht="15.75" customHeight="1" x14ac:dyDescent="0.25">
      <c r="A2497" s="2">
        <v>7875207</v>
      </c>
      <c r="B2497">
        <v>7875207</v>
      </c>
      <c r="C2497" t="str">
        <f t="shared" si="62"/>
        <v>Link</v>
      </c>
      <c r="D2497" t="s">
        <v>3559</v>
      </c>
      <c r="E2497" s="17">
        <v>0.5</v>
      </c>
      <c r="F2497" t="s">
        <v>3560</v>
      </c>
      <c r="G2497">
        <v>0.5</v>
      </c>
      <c r="Q2497" s="1"/>
      <c r="R2497" s="1"/>
    </row>
    <row r="2498" spans="1:18" ht="15.75" customHeight="1" x14ac:dyDescent="0.25">
      <c r="A2498" s="2">
        <v>7875207</v>
      </c>
      <c r="B2498">
        <v>7875207</v>
      </c>
      <c r="C2498" t="str">
        <f t="shared" si="62"/>
        <v>Link</v>
      </c>
      <c r="D2498" t="s">
        <v>3559</v>
      </c>
      <c r="E2498" s="17">
        <v>1.5</v>
      </c>
      <c r="F2498" t="s">
        <v>3560</v>
      </c>
      <c r="G2498">
        <v>0.5</v>
      </c>
      <c r="I2498">
        <v>1</v>
      </c>
      <c r="Q2498" s="1"/>
      <c r="R2498" s="1">
        <v>0.84</v>
      </c>
    </row>
    <row r="2499" spans="1:18" ht="15.75" customHeight="1" x14ac:dyDescent="0.25">
      <c r="A2499" s="2">
        <v>7875207</v>
      </c>
      <c r="B2499">
        <v>7875207</v>
      </c>
      <c r="C2499" t="str">
        <f t="shared" si="62"/>
        <v>Link</v>
      </c>
      <c r="D2499" t="s">
        <v>3559</v>
      </c>
      <c r="E2499" s="17">
        <v>1.5</v>
      </c>
      <c r="F2499" t="s">
        <v>3560</v>
      </c>
      <c r="G2499">
        <v>0.5</v>
      </c>
      <c r="I2499">
        <v>1</v>
      </c>
      <c r="Q2499" s="1"/>
      <c r="R2499" s="1">
        <v>0.66</v>
      </c>
    </row>
    <row r="2500" spans="1:18" ht="15.75" customHeight="1" x14ac:dyDescent="0.25">
      <c r="A2500" s="2">
        <v>7875207</v>
      </c>
      <c r="B2500">
        <v>7875207</v>
      </c>
      <c r="C2500" t="str">
        <f t="shared" si="62"/>
        <v>Link</v>
      </c>
      <c r="D2500" t="s">
        <v>3559</v>
      </c>
      <c r="E2500" s="17">
        <v>1.5</v>
      </c>
      <c r="F2500" t="s">
        <v>3560</v>
      </c>
      <c r="G2500">
        <v>0.5</v>
      </c>
      <c r="I2500">
        <v>1</v>
      </c>
      <c r="Q2500" s="1"/>
      <c r="R2500" s="1">
        <v>0.68</v>
      </c>
    </row>
    <row r="2501" spans="1:18" ht="15.75" customHeight="1" x14ac:dyDescent="0.25">
      <c r="A2501" s="2">
        <v>7878817</v>
      </c>
      <c r="B2501">
        <v>7878817</v>
      </c>
      <c r="C2501" t="str">
        <f>HYPERLINK("https://ois.dk/map/7878817/sfe", "Link")</f>
        <v>Link</v>
      </c>
      <c r="D2501" t="s">
        <v>3561</v>
      </c>
      <c r="E2501" s="17">
        <v>0.5</v>
      </c>
      <c r="F2501" t="s">
        <v>3562</v>
      </c>
      <c r="G2501">
        <v>0.5</v>
      </c>
      <c r="Q2501" s="1"/>
      <c r="R2501" s="1"/>
    </row>
    <row r="2502" spans="1:18" ht="15.75" customHeight="1" x14ac:dyDescent="0.25">
      <c r="A2502" s="2">
        <v>7889206</v>
      </c>
      <c r="B2502">
        <v>7889206</v>
      </c>
      <c r="C2502" t="str">
        <f>HYPERLINK("https://ois.dk/map/7889206/sfe", "Link")</f>
        <v>Link</v>
      </c>
      <c r="D2502" t="s">
        <v>3563</v>
      </c>
      <c r="E2502" s="17">
        <v>2.75</v>
      </c>
      <c r="F2502" t="s">
        <v>3564</v>
      </c>
      <c r="G2502">
        <v>0.5</v>
      </c>
      <c r="H2502">
        <v>0.25</v>
      </c>
      <c r="I2502">
        <v>1</v>
      </c>
      <c r="K2502">
        <v>1</v>
      </c>
      <c r="Q2502" s="1"/>
      <c r="R2502" s="1">
        <v>0.88</v>
      </c>
    </row>
    <row r="2503" spans="1:18" ht="15.75" customHeight="1" x14ac:dyDescent="0.25">
      <c r="A2503" s="2">
        <v>7922517</v>
      </c>
      <c r="B2503">
        <v>7922517</v>
      </c>
      <c r="C2503" t="str">
        <f>HYPERLINK("https://ois.dk/map/7922517/sfe", "Link")</f>
        <v>Link</v>
      </c>
      <c r="D2503" t="s">
        <v>3565</v>
      </c>
      <c r="E2503" s="17">
        <v>1.75</v>
      </c>
      <c r="F2503" t="s">
        <v>3566</v>
      </c>
      <c r="G2503">
        <v>0.5</v>
      </c>
      <c r="H2503">
        <v>0.25</v>
      </c>
      <c r="I2503">
        <v>1</v>
      </c>
      <c r="Q2503" s="1"/>
      <c r="R2503" s="1">
        <v>1.98</v>
      </c>
    </row>
    <row r="2504" spans="1:18" ht="15.75" customHeight="1" x14ac:dyDescent="0.25">
      <c r="A2504" s="2">
        <v>7923927</v>
      </c>
      <c r="B2504">
        <v>7923927</v>
      </c>
      <c r="C2504" t="str">
        <f>HYPERLINK("https://ois.dk/map/7923927/sfe", "Link")</f>
        <v>Link</v>
      </c>
      <c r="D2504" t="s">
        <v>3567</v>
      </c>
      <c r="E2504" s="17">
        <v>0.5</v>
      </c>
      <c r="F2504" t="s">
        <v>3568</v>
      </c>
      <c r="G2504">
        <v>0.5</v>
      </c>
      <c r="Q2504" s="1"/>
      <c r="R2504" s="1"/>
    </row>
    <row r="2505" spans="1:18" ht="15.75" customHeight="1" x14ac:dyDescent="0.25">
      <c r="A2505" s="2">
        <v>7952392</v>
      </c>
      <c r="B2505">
        <v>7952392</v>
      </c>
      <c r="C2505" t="str">
        <f>HYPERLINK("https://ois.dk/map/7952392/sfe", "Link")</f>
        <v>Link</v>
      </c>
      <c r="D2505" t="s">
        <v>174</v>
      </c>
      <c r="E2505" s="17">
        <v>0.5</v>
      </c>
      <c r="F2505" t="s">
        <v>3569</v>
      </c>
      <c r="G2505">
        <v>0.5</v>
      </c>
      <c r="Q2505" s="1"/>
      <c r="R2505" s="1"/>
    </row>
    <row r="2506" spans="1:18" ht="15.75" customHeight="1" x14ac:dyDescent="0.25">
      <c r="A2506" s="2">
        <v>7952392</v>
      </c>
      <c r="B2506">
        <v>7952392</v>
      </c>
      <c r="C2506" t="str">
        <f>HYPERLINK("https://ois.dk/map/7952392/sfe", "Link")</f>
        <v>Link</v>
      </c>
      <c r="D2506" t="s">
        <v>174</v>
      </c>
      <c r="E2506" s="17">
        <v>0.5</v>
      </c>
      <c r="F2506" t="s">
        <v>3570</v>
      </c>
      <c r="G2506">
        <v>0.5</v>
      </c>
      <c r="Q2506" s="1"/>
      <c r="R2506" s="1"/>
    </row>
    <row r="2507" spans="1:18" ht="15.75" customHeight="1" x14ac:dyDescent="0.25">
      <c r="A2507" s="2">
        <v>7952392</v>
      </c>
      <c r="B2507">
        <v>7952392</v>
      </c>
      <c r="C2507" t="str">
        <f>HYPERLINK("https://ois.dk/map/7952392/sfe", "Link")</f>
        <v>Link</v>
      </c>
      <c r="D2507" t="s">
        <v>174</v>
      </c>
      <c r="E2507" s="17">
        <v>0.5</v>
      </c>
      <c r="F2507" t="s">
        <v>3571</v>
      </c>
      <c r="G2507">
        <v>0.5</v>
      </c>
      <c r="Q2507" s="1"/>
      <c r="R2507" s="1"/>
    </row>
    <row r="2508" spans="1:18" ht="15.75" customHeight="1" x14ac:dyDescent="0.25">
      <c r="A2508" s="2">
        <v>7952392</v>
      </c>
      <c r="B2508">
        <v>7952392</v>
      </c>
      <c r="C2508" t="str">
        <f>HYPERLINK("https://ois.dk/map/7952392/sfe", "Link")</f>
        <v>Link</v>
      </c>
      <c r="D2508" t="s">
        <v>174</v>
      </c>
      <c r="E2508" s="17">
        <v>0.5</v>
      </c>
      <c r="F2508" t="s">
        <v>3572</v>
      </c>
      <c r="G2508">
        <v>0.5</v>
      </c>
      <c r="Q2508" s="1"/>
      <c r="R2508" s="1"/>
    </row>
    <row r="2509" spans="1:18" ht="15.75" customHeight="1" x14ac:dyDescent="0.25">
      <c r="A2509" s="2">
        <v>7952392</v>
      </c>
      <c r="B2509">
        <v>7952392</v>
      </c>
      <c r="C2509" t="str">
        <f>HYPERLINK("https://ois.dk/map/7952392/sfe", "Link")</f>
        <v>Link</v>
      </c>
      <c r="D2509" t="s">
        <v>174</v>
      </c>
      <c r="E2509" s="17">
        <v>0.5</v>
      </c>
      <c r="F2509" t="s">
        <v>3573</v>
      </c>
      <c r="G2509">
        <v>0.5</v>
      </c>
      <c r="Q2509" s="1"/>
      <c r="R2509" s="1"/>
    </row>
    <row r="2510" spans="1:18" ht="15.75" customHeight="1" x14ac:dyDescent="0.25">
      <c r="A2510" s="2">
        <v>7987094</v>
      </c>
      <c r="B2510">
        <v>7987094</v>
      </c>
      <c r="C2510" t="str">
        <f>HYPERLINK("https://ois.dk/map/7987094/sfe", "Link")</f>
        <v>Link</v>
      </c>
      <c r="D2510" t="s">
        <v>3574</v>
      </c>
      <c r="E2510" s="17">
        <v>0.5</v>
      </c>
      <c r="F2510" t="s">
        <v>3575</v>
      </c>
      <c r="G2510">
        <v>0.5</v>
      </c>
      <c r="Q2510" s="1"/>
      <c r="R2510" s="1"/>
    </row>
    <row r="2511" spans="1:18" ht="15.75" customHeight="1" x14ac:dyDescent="0.25">
      <c r="A2511" s="2">
        <v>8054682</v>
      </c>
      <c r="B2511">
        <v>8054682</v>
      </c>
      <c r="C2511" t="str">
        <f>HYPERLINK("https://ois.dk/map/8054682/sfe", "Link")</f>
        <v>Link</v>
      </c>
      <c r="D2511" t="s">
        <v>3576</v>
      </c>
      <c r="E2511" s="17">
        <v>0.75</v>
      </c>
      <c r="F2511" t="s">
        <v>3577</v>
      </c>
      <c r="G2511">
        <v>0.5</v>
      </c>
      <c r="H2511">
        <v>0.25</v>
      </c>
      <c r="Q2511" s="1"/>
      <c r="R2511" s="1"/>
    </row>
    <row r="2512" spans="1:18" ht="15.75" customHeight="1" x14ac:dyDescent="0.25">
      <c r="A2512" s="2">
        <v>8054683</v>
      </c>
      <c r="B2512">
        <v>8054683</v>
      </c>
      <c r="C2512" t="str">
        <f>HYPERLINK("https://ois.dk/map/8054683/sfe", "Link")</f>
        <v>Link</v>
      </c>
      <c r="D2512" t="s">
        <v>3578</v>
      </c>
      <c r="E2512" s="17">
        <v>0.5</v>
      </c>
      <c r="F2512" t="s">
        <v>3579</v>
      </c>
      <c r="G2512">
        <v>0.5</v>
      </c>
      <c r="Q2512" s="1"/>
      <c r="R2512" s="1"/>
    </row>
    <row r="2513" spans="1:18" ht="15.75" customHeight="1" x14ac:dyDescent="0.25">
      <c r="A2513" s="2">
        <v>8054684</v>
      </c>
      <c r="B2513">
        <v>8054684</v>
      </c>
      <c r="C2513" t="str">
        <f>HYPERLINK("https://ois.dk/map/8054684/sfe", "Link")</f>
        <v>Link</v>
      </c>
      <c r="D2513" t="s">
        <v>3580</v>
      </c>
      <c r="E2513" s="17">
        <v>0.75</v>
      </c>
      <c r="F2513" t="s">
        <v>3581</v>
      </c>
      <c r="G2513">
        <v>0.5</v>
      </c>
      <c r="H2513">
        <v>0.25</v>
      </c>
      <c r="Q2513" s="1"/>
      <c r="R2513" s="1"/>
    </row>
    <row r="2514" spans="1:18" ht="15.75" customHeight="1" x14ac:dyDescent="0.25">
      <c r="A2514" s="2">
        <v>8054685</v>
      </c>
      <c r="B2514">
        <v>8054685</v>
      </c>
      <c r="C2514" t="str">
        <f>HYPERLINK("https://ois.dk/map/8054685/sfe", "Link")</f>
        <v>Link</v>
      </c>
      <c r="D2514" t="s">
        <v>3582</v>
      </c>
      <c r="E2514" s="17">
        <v>0.75</v>
      </c>
      <c r="F2514" t="s">
        <v>3583</v>
      </c>
      <c r="G2514">
        <v>0.5</v>
      </c>
      <c r="H2514">
        <v>0.25</v>
      </c>
      <c r="Q2514" s="1"/>
      <c r="R2514" s="1"/>
    </row>
    <row r="2515" spans="1:18" ht="15.75" customHeight="1" x14ac:dyDescent="0.25">
      <c r="A2515" s="2">
        <v>8054686</v>
      </c>
      <c r="B2515">
        <v>8054686</v>
      </c>
      <c r="C2515" t="str">
        <f>HYPERLINK("https://ois.dk/map/8054686/sfe", "Link")</f>
        <v>Link</v>
      </c>
      <c r="D2515" t="s">
        <v>3584</v>
      </c>
      <c r="E2515" s="17">
        <v>0.5</v>
      </c>
      <c r="F2515" t="s">
        <v>3585</v>
      </c>
      <c r="G2515">
        <v>0.5</v>
      </c>
      <c r="Q2515" s="1"/>
      <c r="R2515" s="1"/>
    </row>
    <row r="2516" spans="1:18" ht="15.75" customHeight="1" x14ac:dyDescent="0.25">
      <c r="A2516" s="2">
        <v>8083969</v>
      </c>
      <c r="B2516">
        <v>8083969</v>
      </c>
      <c r="C2516" t="str">
        <f>HYPERLINK("https://ois.dk/map/8083969/sfe", "Link")</f>
        <v>Link</v>
      </c>
      <c r="D2516" t="s">
        <v>3586</v>
      </c>
      <c r="E2516" s="17">
        <v>1.25</v>
      </c>
      <c r="F2516" t="s">
        <v>3587</v>
      </c>
      <c r="H2516">
        <v>0.25</v>
      </c>
      <c r="I2516">
        <v>1</v>
      </c>
      <c r="Q2516" s="1"/>
      <c r="R2516" s="1">
        <v>1.77</v>
      </c>
    </row>
    <row r="2517" spans="1:18" ht="15.75" customHeight="1" x14ac:dyDescent="0.25">
      <c r="A2517" s="2">
        <v>8083969</v>
      </c>
      <c r="B2517">
        <v>8083969</v>
      </c>
      <c r="C2517" t="str">
        <f>HYPERLINK("https://ois.dk/map/8083969/sfe", "Link")</f>
        <v>Link</v>
      </c>
      <c r="D2517" t="s">
        <v>3586</v>
      </c>
      <c r="E2517" s="17">
        <v>0.5</v>
      </c>
      <c r="F2517" t="s">
        <v>3588</v>
      </c>
      <c r="G2517">
        <v>0.5</v>
      </c>
      <c r="Q2517" s="1"/>
      <c r="R2517" s="1"/>
    </row>
    <row r="2518" spans="1:18" ht="15.75" customHeight="1" x14ac:dyDescent="0.25">
      <c r="A2518" s="2">
        <v>8083969</v>
      </c>
      <c r="B2518">
        <v>8083969</v>
      </c>
      <c r="C2518" t="str">
        <f>HYPERLINK("https://ois.dk/map/8083969/sfe", "Link")</f>
        <v>Link</v>
      </c>
      <c r="D2518" t="s">
        <v>3586</v>
      </c>
      <c r="E2518" s="17">
        <v>0.5</v>
      </c>
      <c r="F2518" t="s">
        <v>3587</v>
      </c>
      <c r="G2518">
        <v>0.5</v>
      </c>
      <c r="Q2518" s="1"/>
      <c r="R2518" s="1"/>
    </row>
    <row r="2519" spans="1:18" ht="15.75" customHeight="1" x14ac:dyDescent="0.25">
      <c r="A2519" s="2">
        <v>8148765</v>
      </c>
      <c r="B2519">
        <v>8148765</v>
      </c>
      <c r="C2519" t="str">
        <f>HYPERLINK("https://ois.dk/map/8148765/sfe", "Link")</f>
        <v>Link</v>
      </c>
      <c r="D2519" t="s">
        <v>3589</v>
      </c>
      <c r="E2519" s="17">
        <v>0.5</v>
      </c>
      <c r="F2519" t="s">
        <v>3590</v>
      </c>
      <c r="G2519">
        <v>0.5</v>
      </c>
      <c r="Q2519" s="1"/>
      <c r="R2519" s="1"/>
    </row>
    <row r="2520" spans="1:18" ht="15.75" customHeight="1" x14ac:dyDescent="0.25">
      <c r="A2520" s="2">
        <v>8173306</v>
      </c>
      <c r="B2520">
        <v>8173306</v>
      </c>
      <c r="C2520" t="str">
        <f>HYPERLINK("https://ois.dk/map/8173306/sfe", "Link")</f>
        <v>Link</v>
      </c>
      <c r="D2520" t="s">
        <v>3591</v>
      </c>
      <c r="E2520" s="17">
        <v>0.501</v>
      </c>
      <c r="F2520" t="s">
        <v>3592</v>
      </c>
      <c r="G2520">
        <v>0.5</v>
      </c>
      <c r="N2520">
        <v>1E-3</v>
      </c>
      <c r="Q2520" s="1"/>
      <c r="R2520" s="1"/>
    </row>
    <row r="2521" spans="1:18" ht="15.75" customHeight="1" x14ac:dyDescent="0.25">
      <c r="A2521" s="2">
        <v>8274862</v>
      </c>
      <c r="B2521">
        <v>8274862</v>
      </c>
      <c r="C2521" t="str">
        <f>HYPERLINK("https://ois.dk/map/8274862/sfe", "Link")</f>
        <v>Link</v>
      </c>
      <c r="D2521" t="s">
        <v>3593</v>
      </c>
      <c r="E2521" s="17">
        <v>0.85</v>
      </c>
      <c r="F2521" t="s">
        <v>3594</v>
      </c>
      <c r="G2521">
        <v>0.5</v>
      </c>
      <c r="H2521">
        <v>0.25</v>
      </c>
      <c r="P2521">
        <v>0.1</v>
      </c>
      <c r="Q2521" s="1"/>
      <c r="R2521" s="1"/>
    </row>
    <row r="2522" spans="1:18" ht="15.75" customHeight="1" x14ac:dyDescent="0.25">
      <c r="A2522" s="2">
        <v>8305760</v>
      </c>
      <c r="B2522">
        <v>8305760</v>
      </c>
      <c r="C2522" t="str">
        <f>HYPERLINK("https://ois.dk/map/8305760/sfe", "Link")</f>
        <v>Link</v>
      </c>
      <c r="D2522" t="s">
        <v>3595</v>
      </c>
      <c r="E2522" s="17">
        <v>2.1829999999999998</v>
      </c>
      <c r="F2522" t="s">
        <v>3596</v>
      </c>
      <c r="H2522">
        <v>0.25</v>
      </c>
      <c r="I2522">
        <v>1</v>
      </c>
      <c r="M2522">
        <v>0.93300000000000005</v>
      </c>
      <c r="Q2522" s="1"/>
      <c r="R2522" s="1">
        <v>1.79</v>
      </c>
    </row>
    <row r="2523" spans="1:18" ht="15.75" customHeight="1" x14ac:dyDescent="0.25">
      <c r="A2523" s="2">
        <v>8305760</v>
      </c>
      <c r="B2523">
        <v>8305760</v>
      </c>
      <c r="C2523" t="str">
        <f>HYPERLINK("https://ois.dk/map/8305760/sfe", "Link")</f>
        <v>Link</v>
      </c>
      <c r="D2523" t="s">
        <v>3595</v>
      </c>
      <c r="E2523" s="17">
        <v>0.5</v>
      </c>
      <c r="F2523" t="s">
        <v>3596</v>
      </c>
      <c r="G2523">
        <v>0.5</v>
      </c>
      <c r="Q2523" s="1"/>
      <c r="R2523" s="1"/>
    </row>
    <row r="2524" spans="1:18" ht="15.75" customHeight="1" x14ac:dyDescent="0.25">
      <c r="A2524" s="2">
        <v>8305760</v>
      </c>
      <c r="B2524">
        <v>8305760</v>
      </c>
      <c r="C2524" t="str">
        <f>HYPERLINK("https://ois.dk/map/8305760/sfe", "Link")</f>
        <v>Link</v>
      </c>
      <c r="D2524" t="s">
        <v>3595</v>
      </c>
      <c r="E2524" s="17">
        <v>0.5</v>
      </c>
      <c r="F2524" t="s">
        <v>3596</v>
      </c>
      <c r="G2524">
        <v>0.5</v>
      </c>
      <c r="Q2524" s="1"/>
      <c r="R2524" s="1"/>
    </row>
    <row r="2525" spans="1:18" ht="15.75" customHeight="1" x14ac:dyDescent="0.25">
      <c r="A2525" s="2">
        <v>8305761</v>
      </c>
      <c r="B2525">
        <v>8305761</v>
      </c>
      <c r="C2525" t="str">
        <f>HYPERLINK("https://ois.dk/map/8305761/sfe", "Link")</f>
        <v>Link</v>
      </c>
      <c r="D2525" t="s">
        <v>3597</v>
      </c>
      <c r="E2525" s="17">
        <v>7.3840000000000003</v>
      </c>
      <c r="F2525" t="s">
        <v>3598</v>
      </c>
      <c r="G2525">
        <v>0.5</v>
      </c>
      <c r="M2525">
        <v>6.8840000000000003</v>
      </c>
      <c r="Q2525" s="1"/>
      <c r="R2525" s="1"/>
    </row>
    <row r="2526" spans="1:18" ht="15.75" customHeight="1" x14ac:dyDescent="0.25">
      <c r="A2526" s="2">
        <v>8307198</v>
      </c>
      <c r="B2526">
        <v>8307198</v>
      </c>
      <c r="C2526" t="str">
        <f>HYPERLINK("https://ois.dk/map/8307198/sfe", "Link")</f>
        <v>Link</v>
      </c>
      <c r="D2526" t="s">
        <v>3599</v>
      </c>
      <c r="E2526" s="17">
        <v>1.4059999999999999</v>
      </c>
      <c r="F2526" t="s">
        <v>3600</v>
      </c>
      <c r="G2526">
        <v>0.5</v>
      </c>
      <c r="H2526">
        <v>0.25</v>
      </c>
      <c r="M2526">
        <v>0.55600000000000005</v>
      </c>
      <c r="P2526">
        <v>0.1</v>
      </c>
      <c r="Q2526" s="1"/>
      <c r="R2526" s="1"/>
    </row>
    <row r="2527" spans="1:18" ht="15.75" customHeight="1" x14ac:dyDescent="0.25">
      <c r="A2527" s="2">
        <v>8307199</v>
      </c>
      <c r="B2527">
        <v>8307199</v>
      </c>
      <c r="C2527" t="str">
        <f>HYPERLINK("https://ois.dk/map/8307199/sfe", "Link")</f>
        <v>Link</v>
      </c>
      <c r="D2527" t="s">
        <v>3601</v>
      </c>
      <c r="E2527" s="17">
        <v>0.85</v>
      </c>
      <c r="F2527" t="s">
        <v>3602</v>
      </c>
      <c r="G2527">
        <v>0.5</v>
      </c>
      <c r="H2527">
        <v>0.25</v>
      </c>
      <c r="P2527">
        <v>0.1</v>
      </c>
      <c r="Q2527" s="1"/>
      <c r="R2527" s="1"/>
    </row>
    <row r="2528" spans="1:18" ht="15.75" customHeight="1" x14ac:dyDescent="0.25">
      <c r="A2528" s="2">
        <v>8314105</v>
      </c>
      <c r="B2528">
        <v>8314105</v>
      </c>
      <c r="C2528" t="str">
        <f>HYPERLINK("https://ois.dk/map/8314105/sfe", "Link")</f>
        <v>Link</v>
      </c>
      <c r="D2528" t="s">
        <v>3603</v>
      </c>
      <c r="E2528" s="17">
        <v>0.5</v>
      </c>
      <c r="F2528" t="s">
        <v>3604</v>
      </c>
      <c r="G2528">
        <v>0.5</v>
      </c>
      <c r="Q2528" s="1"/>
      <c r="R2528" s="1"/>
    </row>
    <row r="2529" spans="1:18" ht="15.75" customHeight="1" x14ac:dyDescent="0.25">
      <c r="A2529" s="2">
        <v>8346574</v>
      </c>
      <c r="B2529">
        <v>8346574</v>
      </c>
      <c r="C2529" t="str">
        <f>HYPERLINK("https://ois.dk/map/8346574/sfe", "Link")</f>
        <v>Link</v>
      </c>
      <c r="D2529" t="s">
        <v>3605</v>
      </c>
      <c r="E2529" s="17">
        <v>1.75</v>
      </c>
      <c r="F2529" t="s">
        <v>3606</v>
      </c>
      <c r="G2529">
        <v>0.5</v>
      </c>
      <c r="H2529">
        <v>0.25</v>
      </c>
      <c r="I2529">
        <v>1</v>
      </c>
      <c r="Q2529" s="1"/>
      <c r="R2529" s="1">
        <v>1.8</v>
      </c>
    </row>
    <row r="2530" spans="1:18" ht="15.75" customHeight="1" x14ac:dyDescent="0.25">
      <c r="A2530" s="2">
        <v>8346575</v>
      </c>
      <c r="B2530">
        <v>8346575</v>
      </c>
      <c r="C2530" t="str">
        <f>HYPERLINK("https://ois.dk/map/8346575/sfe", "Link")</f>
        <v>Link</v>
      </c>
      <c r="D2530" t="s">
        <v>3607</v>
      </c>
      <c r="E2530" s="17">
        <v>0.75</v>
      </c>
      <c r="F2530" t="s">
        <v>3608</v>
      </c>
      <c r="G2530">
        <v>0.5</v>
      </c>
      <c r="H2530">
        <v>0.25</v>
      </c>
      <c r="Q2530" s="1"/>
      <c r="R2530" s="1"/>
    </row>
    <row r="2531" spans="1:18" ht="15.75" customHeight="1" x14ac:dyDescent="0.25">
      <c r="A2531" s="2">
        <v>8346576</v>
      </c>
      <c r="B2531">
        <v>8346576</v>
      </c>
      <c r="C2531" t="str">
        <f>HYPERLINK("https://ois.dk/map/8346576/sfe", "Link")</f>
        <v>Link</v>
      </c>
      <c r="D2531" t="s">
        <v>3609</v>
      </c>
      <c r="E2531" s="17">
        <v>0.75</v>
      </c>
      <c r="F2531" t="s">
        <v>3610</v>
      </c>
      <c r="G2531">
        <v>0.5</v>
      </c>
      <c r="H2531">
        <v>0.25</v>
      </c>
      <c r="Q2531" s="1"/>
      <c r="R2531" s="1"/>
    </row>
    <row r="2532" spans="1:18" ht="15.75" customHeight="1" x14ac:dyDescent="0.25">
      <c r="A2532" s="2">
        <v>8346577</v>
      </c>
      <c r="B2532">
        <v>8346577</v>
      </c>
      <c r="C2532" t="str">
        <f>HYPERLINK("https://ois.dk/map/8346577/sfe", "Link")</f>
        <v>Link</v>
      </c>
      <c r="D2532" t="s">
        <v>3611</v>
      </c>
      <c r="E2532" s="17">
        <v>0.75</v>
      </c>
      <c r="F2532" t="s">
        <v>3612</v>
      </c>
      <c r="G2532">
        <v>0.5</v>
      </c>
      <c r="H2532">
        <v>0.25</v>
      </c>
      <c r="Q2532" s="1"/>
      <c r="R2532" s="1"/>
    </row>
    <row r="2533" spans="1:18" ht="15.75" customHeight="1" x14ac:dyDescent="0.25">
      <c r="A2533" s="2">
        <v>8346578</v>
      </c>
      <c r="B2533">
        <v>8346578</v>
      </c>
      <c r="C2533" t="str">
        <f>HYPERLINK("https://ois.dk/map/8346578/sfe", "Link")</f>
        <v>Link</v>
      </c>
      <c r="D2533" t="s">
        <v>3613</v>
      </c>
      <c r="E2533" s="17">
        <v>0.75</v>
      </c>
      <c r="F2533" t="s">
        <v>3614</v>
      </c>
      <c r="G2533">
        <v>0.5</v>
      </c>
      <c r="H2533">
        <v>0.25</v>
      </c>
      <c r="Q2533" s="1"/>
      <c r="R2533" s="1"/>
    </row>
    <row r="2534" spans="1:18" ht="15.75" customHeight="1" x14ac:dyDescent="0.25">
      <c r="A2534" s="2">
        <v>8346579</v>
      </c>
      <c r="B2534">
        <v>8346579</v>
      </c>
      <c r="C2534" t="str">
        <f>HYPERLINK("https://ois.dk/map/8346579/sfe", "Link")</f>
        <v>Link</v>
      </c>
      <c r="D2534" t="s">
        <v>3615</v>
      </c>
      <c r="E2534" s="17">
        <v>0.75</v>
      </c>
      <c r="F2534" t="s">
        <v>3616</v>
      </c>
      <c r="G2534">
        <v>0.5</v>
      </c>
      <c r="H2534">
        <v>0.25</v>
      </c>
      <c r="Q2534" s="1"/>
      <c r="R2534" s="1"/>
    </row>
    <row r="2535" spans="1:18" ht="15.75" customHeight="1" x14ac:dyDescent="0.25">
      <c r="A2535" s="2">
        <v>8346580</v>
      </c>
      <c r="B2535">
        <v>8346580</v>
      </c>
      <c r="C2535" t="str">
        <f>HYPERLINK("https://ois.dk/map/8346580/sfe", "Link")</f>
        <v>Link</v>
      </c>
      <c r="D2535" t="s">
        <v>3617</v>
      </c>
      <c r="E2535" s="17">
        <v>1.75</v>
      </c>
      <c r="F2535" t="s">
        <v>3618</v>
      </c>
      <c r="G2535">
        <v>0.5</v>
      </c>
      <c r="H2535">
        <v>0.25</v>
      </c>
      <c r="I2535">
        <v>1</v>
      </c>
      <c r="Q2535" s="1"/>
      <c r="R2535" s="1">
        <v>2.02</v>
      </c>
    </row>
    <row r="2536" spans="1:18" ht="15.75" customHeight="1" x14ac:dyDescent="0.25">
      <c r="A2536" s="2">
        <v>8346581</v>
      </c>
      <c r="B2536">
        <v>8346581</v>
      </c>
      <c r="C2536" t="str">
        <f>HYPERLINK("https://ois.dk/map/8346581/sfe", "Link")</f>
        <v>Link</v>
      </c>
      <c r="D2536" t="s">
        <v>3619</v>
      </c>
      <c r="E2536" s="17">
        <v>0.75</v>
      </c>
      <c r="F2536" t="s">
        <v>3620</v>
      </c>
      <c r="G2536">
        <v>0.5</v>
      </c>
      <c r="H2536">
        <v>0.25</v>
      </c>
      <c r="Q2536" s="1"/>
      <c r="R2536" s="1"/>
    </row>
    <row r="2537" spans="1:18" ht="15.75" customHeight="1" x14ac:dyDescent="0.25">
      <c r="A2537" s="2">
        <v>8346582</v>
      </c>
      <c r="B2537">
        <v>8346582</v>
      </c>
      <c r="C2537" t="str">
        <f>HYPERLINK("https://ois.dk/map/8346582/sfe", "Link")</f>
        <v>Link</v>
      </c>
      <c r="D2537" t="s">
        <v>3621</v>
      </c>
      <c r="E2537" s="17">
        <v>0.75</v>
      </c>
      <c r="F2537" t="s">
        <v>3622</v>
      </c>
      <c r="G2537">
        <v>0.5</v>
      </c>
      <c r="H2537">
        <v>0.25</v>
      </c>
      <c r="Q2537" s="1"/>
      <c r="R2537" s="1"/>
    </row>
    <row r="2538" spans="1:18" ht="15.75" customHeight="1" x14ac:dyDescent="0.25">
      <c r="A2538" s="2">
        <v>8353772</v>
      </c>
      <c r="B2538">
        <v>8353772</v>
      </c>
      <c r="C2538" t="str">
        <f>HYPERLINK("https://ois.dk/map/8353772/sfe", "Link")</f>
        <v>Link</v>
      </c>
      <c r="D2538" t="s">
        <v>3623</v>
      </c>
      <c r="E2538" s="17">
        <v>1.75</v>
      </c>
      <c r="F2538" t="s">
        <v>3624</v>
      </c>
      <c r="G2538">
        <v>0.5</v>
      </c>
      <c r="H2538">
        <v>0.25</v>
      </c>
      <c r="I2538">
        <v>1</v>
      </c>
      <c r="Q2538" s="1"/>
      <c r="R2538" s="1">
        <v>1.92</v>
      </c>
    </row>
    <row r="2539" spans="1:18" ht="15.75" customHeight="1" x14ac:dyDescent="0.25">
      <c r="A2539" s="2">
        <v>8363918</v>
      </c>
      <c r="B2539">
        <v>8363918</v>
      </c>
      <c r="C2539" t="str">
        <f>HYPERLINK("https://ois.dk/map/8363918/sfe", "Link")</f>
        <v>Link</v>
      </c>
      <c r="D2539" t="s">
        <v>3396</v>
      </c>
      <c r="E2539" s="17">
        <v>0.94599999999999995</v>
      </c>
      <c r="G2539">
        <v>0.5</v>
      </c>
      <c r="H2539">
        <v>0.25</v>
      </c>
      <c r="L2539">
        <v>0.19600000000000001</v>
      </c>
      <c r="Q2539" s="1"/>
      <c r="R2539" s="1"/>
    </row>
    <row r="2540" spans="1:18" ht="15.75" customHeight="1" x14ac:dyDescent="0.25">
      <c r="A2540" s="2">
        <v>8407712</v>
      </c>
      <c r="B2540">
        <v>8407712</v>
      </c>
      <c r="C2540" t="str">
        <f>HYPERLINK("https://ois.dk/map/8407712/sfe", "Link")</f>
        <v>Link</v>
      </c>
      <c r="D2540" t="s">
        <v>2250</v>
      </c>
      <c r="E2540" s="17">
        <v>1.75</v>
      </c>
      <c r="F2540" t="s">
        <v>3625</v>
      </c>
      <c r="G2540">
        <v>0.5</v>
      </c>
      <c r="H2540">
        <v>0.25</v>
      </c>
      <c r="I2540">
        <v>1</v>
      </c>
      <c r="Q2540" s="1"/>
      <c r="R2540" s="1">
        <v>0.57999999999999996</v>
      </c>
    </row>
    <row r="2541" spans="1:18" ht="15.75" customHeight="1" x14ac:dyDescent="0.25">
      <c r="A2541" s="2">
        <v>8509588</v>
      </c>
      <c r="B2541">
        <v>8509588</v>
      </c>
      <c r="C2541" t="str">
        <f>HYPERLINK("https://ois.dk/map/8509588/sfe", "Link")</f>
        <v>Link</v>
      </c>
      <c r="D2541" t="s">
        <v>3626</v>
      </c>
      <c r="E2541" s="17">
        <v>0.5</v>
      </c>
      <c r="G2541">
        <v>0.5</v>
      </c>
      <c r="Q2541" s="1"/>
      <c r="R2541" s="1"/>
    </row>
    <row r="2542" spans="1:18" ht="15.75" customHeight="1" x14ac:dyDescent="0.25">
      <c r="A2542" s="2">
        <v>8522987</v>
      </c>
      <c r="B2542">
        <v>8522987</v>
      </c>
      <c r="C2542" t="str">
        <f>HYPERLINK("https://ois.dk/map/8522987/sfe", "Link")</f>
        <v>Link</v>
      </c>
      <c r="D2542" t="s">
        <v>3627</v>
      </c>
      <c r="E2542" s="17">
        <v>0.75</v>
      </c>
      <c r="F2542" t="s">
        <v>3628</v>
      </c>
      <c r="G2542">
        <v>0.5</v>
      </c>
      <c r="H2542">
        <v>0.25</v>
      </c>
      <c r="Q2542" s="1"/>
      <c r="R2542" s="1"/>
    </row>
    <row r="2543" spans="1:18" ht="15.75" customHeight="1" x14ac:dyDescent="0.25">
      <c r="A2543" s="2">
        <v>8550129</v>
      </c>
      <c r="B2543">
        <v>8550129</v>
      </c>
      <c r="C2543" t="str">
        <f>HYPERLINK("https://ois.dk/map/8550129/sfe", "Link")</f>
        <v>Link</v>
      </c>
      <c r="D2543" t="s">
        <v>1020</v>
      </c>
      <c r="E2543" s="17">
        <v>0.5</v>
      </c>
      <c r="F2543" t="s">
        <v>3629</v>
      </c>
      <c r="G2543">
        <v>0.5</v>
      </c>
      <c r="Q2543" s="1"/>
      <c r="R2543" s="1"/>
    </row>
    <row r="2544" spans="1:18" ht="15.75" customHeight="1" x14ac:dyDescent="0.25">
      <c r="A2544" s="2">
        <v>8563190</v>
      </c>
      <c r="B2544">
        <v>286549</v>
      </c>
      <c r="C2544" t="str">
        <f>HYPERLINK("https://ois.dk/map/286549/sfe", "Link")</f>
        <v>Link</v>
      </c>
      <c r="D2544" t="s">
        <v>3630</v>
      </c>
      <c r="E2544" s="17">
        <v>1.5</v>
      </c>
      <c r="F2544" t="s">
        <v>3631</v>
      </c>
      <c r="G2544">
        <v>0.5</v>
      </c>
      <c r="I2544">
        <v>1</v>
      </c>
      <c r="Q2544" s="1"/>
      <c r="R2544" s="1">
        <v>1.86</v>
      </c>
    </row>
    <row r="2545" spans="1:18" ht="15.75" customHeight="1" x14ac:dyDescent="0.25">
      <c r="A2545" s="2">
        <v>8563190</v>
      </c>
      <c r="B2545">
        <v>286550</v>
      </c>
      <c r="C2545" t="str">
        <f>HYPERLINK("https://ois.dk/map/286550/sfe", "Link")</f>
        <v>Link</v>
      </c>
      <c r="D2545" t="s">
        <v>3630</v>
      </c>
      <c r="E2545" s="17">
        <v>1.5</v>
      </c>
      <c r="F2545" t="s">
        <v>3632</v>
      </c>
      <c r="G2545">
        <v>0.5</v>
      </c>
      <c r="I2545">
        <v>1</v>
      </c>
      <c r="Q2545" s="1"/>
      <c r="R2545" s="1">
        <v>1.86</v>
      </c>
    </row>
    <row r="2546" spans="1:18" ht="15.75" customHeight="1" x14ac:dyDescent="0.25">
      <c r="A2546" s="2">
        <v>8563190</v>
      </c>
      <c r="B2546">
        <v>286551</v>
      </c>
      <c r="C2546" t="str">
        <f>HYPERLINK("https://ois.dk/map/286551/sfe", "Link")</f>
        <v>Link</v>
      </c>
      <c r="D2546" t="s">
        <v>3630</v>
      </c>
      <c r="E2546" s="17">
        <v>0.5</v>
      </c>
      <c r="F2546" t="s">
        <v>3633</v>
      </c>
      <c r="G2546">
        <v>0.5</v>
      </c>
      <c r="Q2546" s="1"/>
      <c r="R2546" s="1"/>
    </row>
    <row r="2547" spans="1:18" ht="15.75" customHeight="1" x14ac:dyDescent="0.25">
      <c r="A2547" s="2">
        <v>8563190</v>
      </c>
      <c r="B2547">
        <v>286552</v>
      </c>
      <c r="C2547" t="str">
        <f>HYPERLINK("https://ois.dk/map/286552/sfe", "Link")</f>
        <v>Link</v>
      </c>
      <c r="D2547" t="s">
        <v>3630</v>
      </c>
      <c r="E2547" s="17">
        <v>0.5</v>
      </c>
      <c r="F2547" t="s">
        <v>3634</v>
      </c>
      <c r="G2547">
        <v>0.5</v>
      </c>
      <c r="Q2547" s="1"/>
      <c r="R2547" s="1"/>
    </row>
    <row r="2548" spans="1:18" ht="15.75" customHeight="1" x14ac:dyDescent="0.25">
      <c r="A2548" s="2">
        <v>8563190</v>
      </c>
      <c r="B2548">
        <v>286553</v>
      </c>
      <c r="C2548" t="str">
        <f>HYPERLINK("https://ois.dk/map/286553/sfe", "Link")</f>
        <v>Link</v>
      </c>
      <c r="D2548" t="s">
        <v>3630</v>
      </c>
      <c r="E2548" s="17">
        <v>0.5</v>
      </c>
      <c r="F2548" t="s">
        <v>3635</v>
      </c>
      <c r="G2548">
        <v>0.5</v>
      </c>
      <c r="Q2548" s="1"/>
      <c r="R2548" s="1"/>
    </row>
    <row r="2549" spans="1:18" ht="15.75" customHeight="1" x14ac:dyDescent="0.25">
      <c r="A2549" s="2">
        <v>8563190</v>
      </c>
      <c r="B2549">
        <v>286554</v>
      </c>
      <c r="C2549" t="str">
        <f>HYPERLINK("https://ois.dk/map/286554/sfe", "Link")</f>
        <v>Link</v>
      </c>
      <c r="D2549" t="s">
        <v>3630</v>
      </c>
      <c r="E2549" s="17">
        <v>0.5</v>
      </c>
      <c r="F2549" t="s">
        <v>3636</v>
      </c>
      <c r="G2549">
        <v>0.5</v>
      </c>
      <c r="Q2549" s="1"/>
      <c r="R2549" s="1"/>
    </row>
    <row r="2550" spans="1:18" ht="15.75" customHeight="1" x14ac:dyDescent="0.25">
      <c r="A2550" s="2">
        <v>8563190</v>
      </c>
      <c r="B2550">
        <v>286555</v>
      </c>
      <c r="C2550" t="str">
        <f>HYPERLINK("https://ois.dk/map/286555/sfe", "Link")</f>
        <v>Link</v>
      </c>
      <c r="D2550" t="s">
        <v>3630</v>
      </c>
      <c r="E2550" s="17">
        <v>1.5</v>
      </c>
      <c r="F2550" t="s">
        <v>3637</v>
      </c>
      <c r="G2550">
        <v>0.5</v>
      </c>
      <c r="I2550">
        <v>1</v>
      </c>
      <c r="Q2550" s="1"/>
      <c r="R2550" s="1">
        <v>1.86</v>
      </c>
    </row>
    <row r="2551" spans="1:18" ht="15.75" customHeight="1" x14ac:dyDescent="0.25">
      <c r="A2551" s="2">
        <v>8563190</v>
      </c>
      <c r="B2551">
        <v>286556</v>
      </c>
      <c r="C2551" t="str">
        <f>HYPERLINK("https://ois.dk/map/286556/sfe", "Link")</f>
        <v>Link</v>
      </c>
      <c r="D2551" t="s">
        <v>3630</v>
      </c>
      <c r="E2551" s="17">
        <v>0.5</v>
      </c>
      <c r="F2551" t="s">
        <v>3638</v>
      </c>
      <c r="G2551">
        <v>0.5</v>
      </c>
      <c r="Q2551" s="1"/>
      <c r="R2551" s="1"/>
    </row>
    <row r="2552" spans="1:18" ht="15.75" customHeight="1" x14ac:dyDescent="0.25">
      <c r="A2552" s="2">
        <v>8563190</v>
      </c>
      <c r="B2552">
        <v>286557</v>
      </c>
      <c r="C2552" t="str">
        <f>HYPERLINK("https://ois.dk/map/286557/sfe", "Link")</f>
        <v>Link</v>
      </c>
      <c r="D2552" t="s">
        <v>3630</v>
      </c>
      <c r="E2552" s="17">
        <v>0.5</v>
      </c>
      <c r="F2552" t="s">
        <v>3639</v>
      </c>
      <c r="G2552">
        <v>0.5</v>
      </c>
      <c r="Q2552" s="1"/>
      <c r="R2552" s="1"/>
    </row>
    <row r="2553" spans="1:18" ht="15.75" customHeight="1" x14ac:dyDescent="0.25">
      <c r="A2553" s="2">
        <v>8563190</v>
      </c>
      <c r="B2553">
        <v>286558</v>
      </c>
      <c r="C2553" t="str">
        <f>HYPERLINK("https://ois.dk/map/286558/sfe", "Link")</f>
        <v>Link</v>
      </c>
      <c r="D2553" t="s">
        <v>3630</v>
      </c>
      <c r="E2553" s="17">
        <v>1.5</v>
      </c>
      <c r="F2553" t="s">
        <v>3640</v>
      </c>
      <c r="G2553">
        <v>0.5</v>
      </c>
      <c r="I2553">
        <v>1</v>
      </c>
      <c r="Q2553" s="1"/>
      <c r="R2553" s="1">
        <v>1.86</v>
      </c>
    </row>
    <row r="2554" spans="1:18" ht="15.75" customHeight="1" x14ac:dyDescent="0.25">
      <c r="A2554" s="2">
        <v>8563190</v>
      </c>
      <c r="B2554">
        <v>286559</v>
      </c>
      <c r="C2554" t="str">
        <f>HYPERLINK("https://ois.dk/map/286559/sfe", "Link")</f>
        <v>Link</v>
      </c>
      <c r="D2554" t="s">
        <v>3630</v>
      </c>
      <c r="E2554" s="17">
        <v>0.5</v>
      </c>
      <c r="F2554" t="s">
        <v>3641</v>
      </c>
      <c r="G2554">
        <v>0.5</v>
      </c>
      <c r="Q2554" s="1"/>
      <c r="R2554" s="1"/>
    </row>
    <row r="2555" spans="1:18" ht="15.75" customHeight="1" x14ac:dyDescent="0.25">
      <c r="A2555" s="2">
        <v>8563190</v>
      </c>
      <c r="B2555">
        <v>286560</v>
      </c>
      <c r="C2555" t="str">
        <f>HYPERLINK("https://ois.dk/map/286560/sfe", "Link")</f>
        <v>Link</v>
      </c>
      <c r="D2555" t="s">
        <v>3630</v>
      </c>
      <c r="E2555" s="17">
        <v>0.5</v>
      </c>
      <c r="F2555" t="s">
        <v>3642</v>
      </c>
      <c r="G2555">
        <v>0.5</v>
      </c>
      <c r="Q2555" s="1"/>
      <c r="R2555" s="1"/>
    </row>
    <row r="2556" spans="1:18" ht="15.75" customHeight="1" x14ac:dyDescent="0.25">
      <c r="A2556" s="2">
        <v>8563190</v>
      </c>
      <c r="B2556">
        <v>8563190</v>
      </c>
      <c r="C2556" t="str">
        <f>HYPERLINK("https://ois.dk/map/8563190/sfe", "Link")</f>
        <v>Link</v>
      </c>
      <c r="D2556" t="s">
        <v>3630</v>
      </c>
      <c r="E2556" s="17">
        <v>0.25</v>
      </c>
      <c r="F2556" t="s">
        <v>3643</v>
      </c>
      <c r="H2556">
        <v>0.25</v>
      </c>
      <c r="Q2556" s="1"/>
      <c r="R2556" s="1">
        <v>1.86</v>
      </c>
    </row>
    <row r="2557" spans="1:18" ht="15.75" customHeight="1" x14ac:dyDescent="0.25">
      <c r="A2557" s="2">
        <v>8677932</v>
      </c>
      <c r="B2557">
        <v>8677932</v>
      </c>
      <c r="C2557" t="str">
        <f>HYPERLINK("https://ois.dk/map/8677932/sfe", "Link")</f>
        <v>Link</v>
      </c>
      <c r="D2557" t="s">
        <v>3465</v>
      </c>
      <c r="E2557" s="17">
        <v>0.75</v>
      </c>
      <c r="F2557" t="s">
        <v>3644</v>
      </c>
      <c r="G2557">
        <v>0.5</v>
      </c>
      <c r="H2557">
        <v>0.25</v>
      </c>
      <c r="Q2557" s="1"/>
      <c r="R2557" s="1"/>
    </row>
    <row r="2558" spans="1:18" ht="15.75" customHeight="1" x14ac:dyDescent="0.25">
      <c r="A2558" s="2">
        <v>8875355</v>
      </c>
      <c r="B2558">
        <v>8875355</v>
      </c>
      <c r="C2558" t="str">
        <f>HYPERLINK("https://ois.dk/map/8875355/sfe", "Link")</f>
        <v>Link</v>
      </c>
      <c r="D2558" t="s">
        <v>3645</v>
      </c>
      <c r="E2558" s="17">
        <v>1.75</v>
      </c>
      <c r="F2558" t="s">
        <v>3646</v>
      </c>
      <c r="G2558">
        <v>0.5</v>
      </c>
      <c r="H2558">
        <v>0.25</v>
      </c>
      <c r="I2558">
        <v>1</v>
      </c>
      <c r="Q2558" s="1"/>
      <c r="R2558" s="1">
        <v>0.81</v>
      </c>
    </row>
    <row r="2559" spans="1:18" ht="15.75" customHeight="1" x14ac:dyDescent="0.25">
      <c r="A2559" s="2">
        <v>8875356</v>
      </c>
      <c r="B2559">
        <v>8875356</v>
      </c>
      <c r="C2559" t="str">
        <f>HYPERLINK("https://ois.dk/map/8875356/sfe", "Link")</f>
        <v>Link</v>
      </c>
      <c r="D2559" t="s">
        <v>3647</v>
      </c>
      <c r="E2559" s="17">
        <v>1.75</v>
      </c>
      <c r="F2559" t="s">
        <v>3648</v>
      </c>
      <c r="G2559">
        <v>0.5</v>
      </c>
      <c r="H2559">
        <v>0.25</v>
      </c>
      <c r="I2559">
        <v>1</v>
      </c>
      <c r="Q2559" s="1"/>
      <c r="R2559" s="1">
        <v>0.8</v>
      </c>
    </row>
    <row r="2560" spans="1:18" ht="15.75" customHeight="1" x14ac:dyDescent="0.25">
      <c r="A2560" s="2">
        <v>8879825</v>
      </c>
      <c r="B2560">
        <v>8879825</v>
      </c>
      <c r="C2560" t="str">
        <f>HYPERLINK("https://ois.dk/map/8879825/sfe", "Link")</f>
        <v>Link</v>
      </c>
      <c r="D2560" t="s">
        <v>923</v>
      </c>
      <c r="E2560" s="17">
        <v>1.75</v>
      </c>
      <c r="F2560" t="s">
        <v>3649</v>
      </c>
      <c r="G2560">
        <v>0.5</v>
      </c>
      <c r="H2560">
        <v>0.25</v>
      </c>
      <c r="I2560">
        <v>1</v>
      </c>
      <c r="Q2560" s="1"/>
      <c r="R2560" s="1">
        <v>2.0499999999999998</v>
      </c>
    </row>
    <row r="2561" spans="1:18" ht="15.75" customHeight="1" x14ac:dyDescent="0.25">
      <c r="A2561" s="2">
        <v>8879826</v>
      </c>
      <c r="B2561">
        <v>8879826</v>
      </c>
      <c r="C2561" t="str">
        <f>HYPERLINK("https://ois.dk/map/8879826/sfe", "Link")</f>
        <v>Link</v>
      </c>
      <c r="D2561" t="s">
        <v>3650</v>
      </c>
      <c r="E2561" s="17">
        <v>0.75</v>
      </c>
      <c r="F2561" t="s">
        <v>3651</v>
      </c>
      <c r="G2561">
        <v>0.5</v>
      </c>
      <c r="H2561">
        <v>0.25</v>
      </c>
      <c r="Q2561" s="1"/>
      <c r="R2561" s="1"/>
    </row>
    <row r="2562" spans="1:18" ht="15.75" customHeight="1" x14ac:dyDescent="0.25">
      <c r="A2562" s="2">
        <v>8907362</v>
      </c>
      <c r="B2562">
        <v>8907362</v>
      </c>
      <c r="C2562" t="str">
        <f>HYPERLINK("https://ois.dk/map/8907362/sfe", "Link")</f>
        <v>Link</v>
      </c>
      <c r="D2562" t="s">
        <v>3652</v>
      </c>
      <c r="E2562" s="17">
        <v>0.5</v>
      </c>
      <c r="F2562" t="s">
        <v>3653</v>
      </c>
      <c r="G2562">
        <v>0.5</v>
      </c>
      <c r="Q2562" s="1"/>
      <c r="R2562" s="1"/>
    </row>
    <row r="2563" spans="1:18" ht="15.75" customHeight="1" x14ac:dyDescent="0.25">
      <c r="A2563" s="2">
        <v>8994231</v>
      </c>
      <c r="B2563">
        <v>8994231</v>
      </c>
      <c r="C2563" t="str">
        <f>HYPERLINK("https://ois.dk/map/8994231/sfe", "Link")</f>
        <v>Link</v>
      </c>
      <c r="D2563" t="s">
        <v>3654</v>
      </c>
      <c r="E2563" s="17">
        <v>0.872</v>
      </c>
      <c r="F2563" t="s">
        <v>3655</v>
      </c>
      <c r="G2563">
        <v>0.5</v>
      </c>
      <c r="H2563">
        <v>0.25</v>
      </c>
      <c r="M2563">
        <v>2.1999999999999999E-2</v>
      </c>
      <c r="P2563">
        <v>0.1</v>
      </c>
      <c r="Q2563" s="1"/>
      <c r="R2563" s="1"/>
    </row>
    <row r="2564" spans="1:18" ht="15.75" customHeight="1" x14ac:dyDescent="0.25">
      <c r="A2564" s="2">
        <v>9062813</v>
      </c>
      <c r="B2564">
        <v>9062813</v>
      </c>
      <c r="C2564" t="str">
        <f t="shared" ref="C2564:C2592" si="63">HYPERLINK("https://ois.dk/map/9062813/sfe", "Link")</f>
        <v>Link</v>
      </c>
      <c r="D2564" t="s">
        <v>145</v>
      </c>
      <c r="E2564" s="17">
        <v>0.25</v>
      </c>
      <c r="F2564" t="s">
        <v>3656</v>
      </c>
      <c r="H2564">
        <v>0.25</v>
      </c>
      <c r="Q2564" s="1"/>
      <c r="R2564" s="1">
        <v>0.28999999999999998</v>
      </c>
    </row>
    <row r="2565" spans="1:18" ht="15.75" customHeight="1" x14ac:dyDescent="0.25">
      <c r="A2565" s="2">
        <v>9062813</v>
      </c>
      <c r="B2565">
        <v>9062813</v>
      </c>
      <c r="C2565" t="str">
        <f t="shared" si="63"/>
        <v>Link</v>
      </c>
      <c r="D2565" t="s">
        <v>145</v>
      </c>
      <c r="E2565" s="17">
        <v>1.5</v>
      </c>
      <c r="F2565" t="s">
        <v>3656</v>
      </c>
      <c r="G2565">
        <v>0.5</v>
      </c>
      <c r="I2565">
        <v>1</v>
      </c>
      <c r="Q2565" s="1"/>
      <c r="R2565" s="1">
        <v>0.28999999999999998</v>
      </c>
    </row>
    <row r="2566" spans="1:18" ht="15.75" customHeight="1" x14ac:dyDescent="0.25">
      <c r="A2566" s="2">
        <v>9062813</v>
      </c>
      <c r="B2566">
        <v>9062813</v>
      </c>
      <c r="C2566" t="str">
        <f t="shared" si="63"/>
        <v>Link</v>
      </c>
      <c r="D2566" t="s">
        <v>145</v>
      </c>
      <c r="E2566" s="17">
        <v>1.5</v>
      </c>
      <c r="F2566" t="s">
        <v>3657</v>
      </c>
      <c r="G2566">
        <v>0.5</v>
      </c>
      <c r="I2566">
        <v>1</v>
      </c>
      <c r="Q2566" s="1"/>
      <c r="R2566" s="1">
        <v>0.28999999999999998</v>
      </c>
    </row>
    <row r="2567" spans="1:18" ht="15.75" customHeight="1" x14ac:dyDescent="0.25">
      <c r="A2567" s="2">
        <v>9062813</v>
      </c>
      <c r="B2567">
        <v>9062813</v>
      </c>
      <c r="C2567" t="str">
        <f t="shared" si="63"/>
        <v>Link</v>
      </c>
      <c r="D2567" t="s">
        <v>145</v>
      </c>
      <c r="E2567" s="17">
        <v>1.5</v>
      </c>
      <c r="F2567" t="s">
        <v>3658</v>
      </c>
      <c r="G2567">
        <v>0.5</v>
      </c>
      <c r="I2567">
        <v>1</v>
      </c>
      <c r="Q2567" s="1"/>
      <c r="R2567" s="1">
        <v>0.28999999999999998</v>
      </c>
    </row>
    <row r="2568" spans="1:18" ht="15.75" customHeight="1" x14ac:dyDescent="0.25">
      <c r="A2568" s="2">
        <v>9062813</v>
      </c>
      <c r="B2568">
        <v>9062813</v>
      </c>
      <c r="C2568" t="str">
        <f t="shared" si="63"/>
        <v>Link</v>
      </c>
      <c r="D2568" t="s">
        <v>145</v>
      </c>
      <c r="E2568" s="17">
        <v>1.5</v>
      </c>
      <c r="F2568" t="s">
        <v>3659</v>
      </c>
      <c r="G2568">
        <v>0.5</v>
      </c>
      <c r="I2568">
        <v>1</v>
      </c>
      <c r="Q2568" s="1"/>
      <c r="R2568" s="1">
        <v>0.28999999999999998</v>
      </c>
    </row>
    <row r="2569" spans="1:18" ht="15.75" customHeight="1" x14ac:dyDescent="0.25">
      <c r="A2569" s="2">
        <v>9062813</v>
      </c>
      <c r="B2569">
        <v>9062813</v>
      </c>
      <c r="C2569" t="str">
        <f t="shared" si="63"/>
        <v>Link</v>
      </c>
      <c r="D2569" t="s">
        <v>145</v>
      </c>
      <c r="E2569" s="17">
        <v>1.5</v>
      </c>
      <c r="F2569" t="s">
        <v>3660</v>
      </c>
      <c r="G2569">
        <v>0.5</v>
      </c>
      <c r="I2569">
        <v>1</v>
      </c>
      <c r="Q2569" s="1"/>
      <c r="R2569" s="1">
        <v>0.28999999999999998</v>
      </c>
    </row>
    <row r="2570" spans="1:18" ht="15.75" customHeight="1" x14ac:dyDescent="0.25">
      <c r="A2570" s="2">
        <v>9062813</v>
      </c>
      <c r="B2570">
        <v>9062813</v>
      </c>
      <c r="C2570" t="str">
        <f t="shared" si="63"/>
        <v>Link</v>
      </c>
      <c r="D2570" t="s">
        <v>145</v>
      </c>
      <c r="E2570" s="17">
        <v>0.5</v>
      </c>
      <c r="F2570" t="s">
        <v>3661</v>
      </c>
      <c r="G2570">
        <v>0.5</v>
      </c>
      <c r="Q2570" s="1"/>
      <c r="R2570" s="1"/>
    </row>
    <row r="2571" spans="1:18" ht="15.75" customHeight="1" x14ac:dyDescent="0.25">
      <c r="A2571" s="2">
        <v>9062813</v>
      </c>
      <c r="B2571">
        <v>9062813</v>
      </c>
      <c r="C2571" t="str">
        <f t="shared" si="63"/>
        <v>Link</v>
      </c>
      <c r="D2571" t="s">
        <v>145</v>
      </c>
      <c r="E2571" s="17">
        <v>1.5</v>
      </c>
      <c r="F2571" t="s">
        <v>3662</v>
      </c>
      <c r="G2571">
        <v>0.5</v>
      </c>
      <c r="I2571">
        <v>1</v>
      </c>
      <c r="Q2571" s="1"/>
      <c r="R2571" s="1">
        <v>0.34</v>
      </c>
    </row>
    <row r="2572" spans="1:18" ht="15.75" customHeight="1" x14ac:dyDescent="0.25">
      <c r="A2572" s="2">
        <v>9062813</v>
      </c>
      <c r="B2572">
        <v>9062813</v>
      </c>
      <c r="C2572" t="str">
        <f t="shared" si="63"/>
        <v>Link</v>
      </c>
      <c r="D2572" t="s">
        <v>145</v>
      </c>
      <c r="E2572" s="17">
        <v>0.5</v>
      </c>
      <c r="F2572" t="s">
        <v>3663</v>
      </c>
      <c r="G2572">
        <v>0.5</v>
      </c>
      <c r="Q2572" s="1"/>
      <c r="R2572" s="1"/>
    </row>
    <row r="2573" spans="1:18" ht="15.75" customHeight="1" x14ac:dyDescent="0.25">
      <c r="A2573" s="2">
        <v>9062813</v>
      </c>
      <c r="B2573">
        <v>9062813</v>
      </c>
      <c r="C2573" t="str">
        <f t="shared" si="63"/>
        <v>Link</v>
      </c>
      <c r="D2573" t="s">
        <v>145</v>
      </c>
      <c r="E2573" s="17">
        <v>1.5</v>
      </c>
      <c r="F2573" t="s">
        <v>3664</v>
      </c>
      <c r="G2573">
        <v>0.5</v>
      </c>
      <c r="I2573">
        <v>1</v>
      </c>
      <c r="Q2573" s="1"/>
      <c r="R2573" s="1">
        <v>0.34</v>
      </c>
    </row>
    <row r="2574" spans="1:18" ht="15.75" customHeight="1" x14ac:dyDescent="0.25">
      <c r="A2574" s="2">
        <v>9062813</v>
      </c>
      <c r="B2574">
        <v>9062813</v>
      </c>
      <c r="C2574" t="str">
        <f t="shared" si="63"/>
        <v>Link</v>
      </c>
      <c r="D2574" t="s">
        <v>145</v>
      </c>
      <c r="E2574" s="17">
        <v>1.5</v>
      </c>
      <c r="F2574" t="s">
        <v>3665</v>
      </c>
      <c r="G2574">
        <v>0.5</v>
      </c>
      <c r="I2574">
        <v>1</v>
      </c>
      <c r="Q2574" s="1"/>
      <c r="R2574" s="1">
        <v>0.44</v>
      </c>
    </row>
    <row r="2575" spans="1:18" ht="15.75" customHeight="1" x14ac:dyDescent="0.25">
      <c r="A2575" s="2">
        <v>9062813</v>
      </c>
      <c r="B2575">
        <v>9062813</v>
      </c>
      <c r="C2575" t="str">
        <f t="shared" si="63"/>
        <v>Link</v>
      </c>
      <c r="D2575" t="s">
        <v>145</v>
      </c>
      <c r="E2575" s="17">
        <v>1.5</v>
      </c>
      <c r="F2575" t="s">
        <v>3666</v>
      </c>
      <c r="G2575">
        <v>0.5</v>
      </c>
      <c r="I2575">
        <v>1</v>
      </c>
      <c r="Q2575" s="1"/>
      <c r="R2575" s="1">
        <v>0.44</v>
      </c>
    </row>
    <row r="2576" spans="1:18" ht="15.75" customHeight="1" x14ac:dyDescent="0.25">
      <c r="A2576" s="2">
        <v>9062813</v>
      </c>
      <c r="B2576">
        <v>9062813</v>
      </c>
      <c r="C2576" t="str">
        <f t="shared" si="63"/>
        <v>Link</v>
      </c>
      <c r="D2576" t="s">
        <v>145</v>
      </c>
      <c r="E2576" s="17">
        <v>1.5</v>
      </c>
      <c r="F2576" t="s">
        <v>3667</v>
      </c>
      <c r="G2576">
        <v>0.5</v>
      </c>
      <c r="I2576">
        <v>1</v>
      </c>
      <c r="Q2576" s="1"/>
      <c r="R2576" s="1">
        <v>0.44</v>
      </c>
    </row>
    <row r="2577" spans="1:18" ht="15.75" customHeight="1" x14ac:dyDescent="0.25">
      <c r="A2577" s="2">
        <v>9062813</v>
      </c>
      <c r="B2577">
        <v>9062813</v>
      </c>
      <c r="C2577" t="str">
        <f t="shared" si="63"/>
        <v>Link</v>
      </c>
      <c r="D2577" t="s">
        <v>145</v>
      </c>
      <c r="E2577" s="17">
        <v>1.5</v>
      </c>
      <c r="F2577" t="s">
        <v>3668</v>
      </c>
      <c r="G2577">
        <v>0.5</v>
      </c>
      <c r="I2577">
        <v>1</v>
      </c>
      <c r="Q2577" s="1"/>
      <c r="R2577" s="1">
        <v>0.44</v>
      </c>
    </row>
    <row r="2578" spans="1:18" ht="15.75" customHeight="1" x14ac:dyDescent="0.25">
      <c r="A2578" s="2">
        <v>9062813</v>
      </c>
      <c r="B2578">
        <v>9062813</v>
      </c>
      <c r="C2578" t="str">
        <f t="shared" si="63"/>
        <v>Link</v>
      </c>
      <c r="D2578" t="s">
        <v>145</v>
      </c>
      <c r="E2578" s="17">
        <v>1.5</v>
      </c>
      <c r="F2578" t="s">
        <v>3669</v>
      </c>
      <c r="G2578">
        <v>0.5</v>
      </c>
      <c r="I2578">
        <v>1</v>
      </c>
      <c r="Q2578" s="1"/>
      <c r="R2578" s="1">
        <v>0.44</v>
      </c>
    </row>
    <row r="2579" spans="1:18" ht="15.75" customHeight="1" x14ac:dyDescent="0.25">
      <c r="A2579" s="2">
        <v>9062813</v>
      </c>
      <c r="B2579">
        <v>9062813</v>
      </c>
      <c r="C2579" t="str">
        <f t="shared" si="63"/>
        <v>Link</v>
      </c>
      <c r="D2579" t="s">
        <v>145</v>
      </c>
      <c r="E2579" s="17">
        <v>1.5</v>
      </c>
      <c r="F2579" t="s">
        <v>3670</v>
      </c>
      <c r="G2579">
        <v>0.5</v>
      </c>
      <c r="I2579">
        <v>1</v>
      </c>
      <c r="Q2579" s="1"/>
      <c r="R2579" s="1">
        <v>0.59</v>
      </c>
    </row>
    <row r="2580" spans="1:18" ht="15.75" customHeight="1" x14ac:dyDescent="0.25">
      <c r="A2580" s="2">
        <v>9062813</v>
      </c>
      <c r="B2580">
        <v>9062813</v>
      </c>
      <c r="C2580" t="str">
        <f t="shared" si="63"/>
        <v>Link</v>
      </c>
      <c r="D2580" t="s">
        <v>145</v>
      </c>
      <c r="E2580" s="17">
        <v>1.5</v>
      </c>
      <c r="F2580" t="s">
        <v>3671</v>
      </c>
      <c r="G2580">
        <v>0.5</v>
      </c>
      <c r="I2580">
        <v>1</v>
      </c>
      <c r="Q2580" s="1"/>
      <c r="R2580" s="1">
        <v>0.59</v>
      </c>
    </row>
    <row r="2581" spans="1:18" ht="15.75" customHeight="1" x14ac:dyDescent="0.25">
      <c r="A2581" s="2">
        <v>9062813</v>
      </c>
      <c r="B2581">
        <v>9062813</v>
      </c>
      <c r="C2581" t="str">
        <f t="shared" si="63"/>
        <v>Link</v>
      </c>
      <c r="D2581" t="s">
        <v>145</v>
      </c>
      <c r="E2581" s="17">
        <v>1.5</v>
      </c>
      <c r="F2581" t="s">
        <v>3672</v>
      </c>
      <c r="G2581">
        <v>0.5</v>
      </c>
      <c r="I2581">
        <v>1</v>
      </c>
      <c r="Q2581" s="1"/>
      <c r="R2581" s="1">
        <v>0.59</v>
      </c>
    </row>
    <row r="2582" spans="1:18" ht="15.75" customHeight="1" x14ac:dyDescent="0.25">
      <c r="A2582" s="2">
        <v>9062813</v>
      </c>
      <c r="B2582">
        <v>9062813</v>
      </c>
      <c r="C2582" t="str">
        <f t="shared" si="63"/>
        <v>Link</v>
      </c>
      <c r="D2582" t="s">
        <v>145</v>
      </c>
      <c r="E2582" s="17">
        <v>1.5</v>
      </c>
      <c r="F2582" t="s">
        <v>3673</v>
      </c>
      <c r="G2582">
        <v>0.5</v>
      </c>
      <c r="I2582">
        <v>1</v>
      </c>
      <c r="Q2582" s="1"/>
      <c r="R2582" s="1">
        <v>0.59</v>
      </c>
    </row>
    <row r="2583" spans="1:18" ht="15.75" customHeight="1" x14ac:dyDescent="0.25">
      <c r="A2583" s="2">
        <v>9062813</v>
      </c>
      <c r="B2583">
        <v>9062813</v>
      </c>
      <c r="C2583" t="str">
        <f t="shared" si="63"/>
        <v>Link</v>
      </c>
      <c r="D2583" t="s">
        <v>145</v>
      </c>
      <c r="E2583" s="17">
        <v>1.5</v>
      </c>
      <c r="F2583" t="s">
        <v>3674</v>
      </c>
      <c r="G2583">
        <v>0.5</v>
      </c>
      <c r="I2583">
        <v>1</v>
      </c>
      <c r="Q2583" s="1"/>
      <c r="R2583" s="1">
        <v>0.59</v>
      </c>
    </row>
    <row r="2584" spans="1:18" ht="15.75" customHeight="1" x14ac:dyDescent="0.25">
      <c r="A2584" s="2">
        <v>9062813</v>
      </c>
      <c r="B2584">
        <v>9062813</v>
      </c>
      <c r="C2584" t="str">
        <f t="shared" si="63"/>
        <v>Link</v>
      </c>
      <c r="D2584" t="s">
        <v>145</v>
      </c>
      <c r="E2584" s="17">
        <v>0.5</v>
      </c>
      <c r="F2584" t="s">
        <v>3675</v>
      </c>
      <c r="G2584">
        <v>0.5</v>
      </c>
      <c r="Q2584" s="1"/>
      <c r="R2584" s="1"/>
    </row>
    <row r="2585" spans="1:18" ht="15.75" customHeight="1" x14ac:dyDescent="0.25">
      <c r="A2585" s="2">
        <v>9062813</v>
      </c>
      <c r="B2585">
        <v>9062813</v>
      </c>
      <c r="C2585" t="str">
        <f t="shared" si="63"/>
        <v>Link</v>
      </c>
      <c r="D2585" t="s">
        <v>145</v>
      </c>
      <c r="E2585" s="17">
        <v>1.5</v>
      </c>
      <c r="F2585" t="s">
        <v>3676</v>
      </c>
      <c r="G2585">
        <v>0.5</v>
      </c>
      <c r="I2585">
        <v>1</v>
      </c>
      <c r="Q2585" s="1"/>
      <c r="R2585" s="1">
        <v>0.7</v>
      </c>
    </row>
    <row r="2586" spans="1:18" ht="15.75" customHeight="1" x14ac:dyDescent="0.25">
      <c r="A2586" s="2">
        <v>9062813</v>
      </c>
      <c r="B2586">
        <v>9062813</v>
      </c>
      <c r="C2586" t="str">
        <f t="shared" si="63"/>
        <v>Link</v>
      </c>
      <c r="D2586" t="s">
        <v>145</v>
      </c>
      <c r="E2586" s="17">
        <v>0.5</v>
      </c>
      <c r="F2586" t="s">
        <v>3677</v>
      </c>
      <c r="G2586">
        <v>0.5</v>
      </c>
      <c r="Q2586" s="1"/>
      <c r="R2586" s="1"/>
    </row>
    <row r="2587" spans="1:18" ht="15.75" customHeight="1" x14ac:dyDescent="0.25">
      <c r="A2587" s="2">
        <v>9062813</v>
      </c>
      <c r="B2587">
        <v>9062813</v>
      </c>
      <c r="C2587" t="str">
        <f t="shared" si="63"/>
        <v>Link</v>
      </c>
      <c r="D2587" t="s">
        <v>145</v>
      </c>
      <c r="E2587" s="17">
        <v>1.5</v>
      </c>
      <c r="F2587" t="s">
        <v>3678</v>
      </c>
      <c r="G2587">
        <v>0.5</v>
      </c>
      <c r="I2587">
        <v>1</v>
      </c>
      <c r="Q2587" s="1"/>
      <c r="R2587" s="1">
        <v>0.7</v>
      </c>
    </row>
    <row r="2588" spans="1:18" ht="15.75" customHeight="1" x14ac:dyDescent="0.25">
      <c r="A2588" s="2">
        <v>9062813</v>
      </c>
      <c r="B2588">
        <v>9062813</v>
      </c>
      <c r="C2588" t="str">
        <f t="shared" si="63"/>
        <v>Link</v>
      </c>
      <c r="D2588" t="s">
        <v>145</v>
      </c>
      <c r="E2588" s="17">
        <v>1.5</v>
      </c>
      <c r="F2588" t="s">
        <v>3679</v>
      </c>
      <c r="G2588">
        <v>0.5</v>
      </c>
      <c r="I2588">
        <v>1</v>
      </c>
      <c r="Q2588" s="1"/>
      <c r="R2588" s="1">
        <v>0.83</v>
      </c>
    </row>
    <row r="2589" spans="1:18" ht="15.75" customHeight="1" x14ac:dyDescent="0.25">
      <c r="A2589" s="2">
        <v>9062813</v>
      </c>
      <c r="B2589">
        <v>9062813</v>
      </c>
      <c r="C2589" t="str">
        <f t="shared" si="63"/>
        <v>Link</v>
      </c>
      <c r="D2589" t="s">
        <v>145</v>
      </c>
      <c r="E2589" s="17">
        <v>1.5</v>
      </c>
      <c r="F2589" t="s">
        <v>3680</v>
      </c>
      <c r="G2589">
        <v>0.5</v>
      </c>
      <c r="I2589">
        <v>1</v>
      </c>
      <c r="Q2589" s="1"/>
      <c r="R2589" s="1">
        <v>0.83</v>
      </c>
    </row>
    <row r="2590" spans="1:18" ht="15.75" customHeight="1" x14ac:dyDescent="0.25">
      <c r="A2590" s="2">
        <v>9062813</v>
      </c>
      <c r="B2590">
        <v>9062813</v>
      </c>
      <c r="C2590" t="str">
        <f t="shared" si="63"/>
        <v>Link</v>
      </c>
      <c r="D2590" t="s">
        <v>145</v>
      </c>
      <c r="E2590" s="17">
        <v>1.5</v>
      </c>
      <c r="F2590" t="s">
        <v>3681</v>
      </c>
      <c r="G2590">
        <v>0.5</v>
      </c>
      <c r="I2590">
        <v>1</v>
      </c>
      <c r="Q2590" s="1"/>
      <c r="R2590" s="1">
        <v>0.83</v>
      </c>
    </row>
    <row r="2591" spans="1:18" ht="15.75" customHeight="1" x14ac:dyDescent="0.25">
      <c r="A2591" s="2">
        <v>9062813</v>
      </c>
      <c r="B2591">
        <v>9062813</v>
      </c>
      <c r="C2591" t="str">
        <f t="shared" si="63"/>
        <v>Link</v>
      </c>
      <c r="D2591" t="s">
        <v>145</v>
      </c>
      <c r="E2591" s="17">
        <v>1.5</v>
      </c>
      <c r="F2591" t="s">
        <v>3682</v>
      </c>
      <c r="G2591">
        <v>0.5</v>
      </c>
      <c r="I2591">
        <v>1</v>
      </c>
      <c r="Q2591" s="1"/>
      <c r="R2591" s="1">
        <v>0.83</v>
      </c>
    </row>
    <row r="2592" spans="1:18" ht="15.75" customHeight="1" x14ac:dyDescent="0.25">
      <c r="A2592" s="2">
        <v>9062813</v>
      </c>
      <c r="B2592">
        <v>9062813</v>
      </c>
      <c r="C2592" t="str">
        <f t="shared" si="63"/>
        <v>Link</v>
      </c>
      <c r="D2592" t="s">
        <v>145</v>
      </c>
      <c r="E2592" s="17">
        <v>1.5</v>
      </c>
      <c r="F2592" t="s">
        <v>3683</v>
      </c>
      <c r="G2592">
        <v>0.5</v>
      </c>
      <c r="I2592">
        <v>1</v>
      </c>
      <c r="Q2592" s="1"/>
      <c r="R2592" s="1">
        <v>0.83</v>
      </c>
    </row>
    <row r="2593" spans="1:18" ht="15.75" customHeight="1" x14ac:dyDescent="0.25">
      <c r="A2593" s="2">
        <v>9071902</v>
      </c>
      <c r="B2593">
        <v>9071902</v>
      </c>
      <c r="C2593" t="str">
        <f>HYPERLINK("https://ois.dk/map/9071902/sfe", "Link")</f>
        <v>Link</v>
      </c>
      <c r="D2593" t="s">
        <v>3684</v>
      </c>
      <c r="E2593" s="17">
        <v>0.25</v>
      </c>
      <c r="F2593" t="s">
        <v>3685</v>
      </c>
      <c r="H2593">
        <v>0.25</v>
      </c>
      <c r="Q2593" s="1"/>
      <c r="R2593" s="1">
        <v>-0.44</v>
      </c>
    </row>
    <row r="2594" spans="1:18" ht="15.75" customHeight="1" x14ac:dyDescent="0.25">
      <c r="A2594" s="2">
        <v>9071902</v>
      </c>
      <c r="B2594">
        <v>9071902</v>
      </c>
      <c r="C2594" t="str">
        <f>HYPERLINK("https://ois.dk/map/9071902/sfe", "Link")</f>
        <v>Link</v>
      </c>
      <c r="D2594" t="s">
        <v>3684</v>
      </c>
      <c r="E2594" s="17">
        <v>1.5</v>
      </c>
      <c r="F2594" t="s">
        <v>3685</v>
      </c>
      <c r="G2594">
        <v>0.5</v>
      </c>
      <c r="I2594">
        <v>1</v>
      </c>
      <c r="Q2594" s="1"/>
      <c r="R2594" s="1">
        <v>-0.25</v>
      </c>
    </row>
    <row r="2595" spans="1:18" ht="15.75" customHeight="1" x14ac:dyDescent="0.25">
      <c r="A2595" s="2">
        <v>9071902</v>
      </c>
      <c r="B2595">
        <v>9071902</v>
      </c>
      <c r="C2595" t="str">
        <f>HYPERLINK("https://ois.dk/map/9071902/sfe", "Link")</f>
        <v>Link</v>
      </c>
      <c r="D2595" t="s">
        <v>3684</v>
      </c>
      <c r="E2595" s="17">
        <v>1.5</v>
      </c>
      <c r="F2595" t="s">
        <v>3685</v>
      </c>
      <c r="G2595">
        <v>0.5</v>
      </c>
      <c r="I2595">
        <v>1</v>
      </c>
      <c r="Q2595" s="1"/>
      <c r="R2595" s="1">
        <v>-0.26</v>
      </c>
    </row>
    <row r="2596" spans="1:18" ht="15.75" customHeight="1" x14ac:dyDescent="0.25">
      <c r="A2596" s="2">
        <v>9106509</v>
      </c>
      <c r="B2596">
        <v>9106509</v>
      </c>
      <c r="C2596" t="str">
        <f>HYPERLINK("https://ois.dk/map/9106509/sfe", "Link")</f>
        <v>Link</v>
      </c>
      <c r="D2596" t="s">
        <v>3686</v>
      </c>
      <c r="E2596" s="17">
        <v>0.59199999999999997</v>
      </c>
      <c r="F2596" t="s">
        <v>3687</v>
      </c>
      <c r="G2596">
        <v>0.5</v>
      </c>
      <c r="N2596">
        <v>9.1999999999999998E-2</v>
      </c>
      <c r="Q2596" s="1"/>
      <c r="R2596" s="1"/>
    </row>
    <row r="2597" spans="1:18" ht="15.75" customHeight="1" x14ac:dyDescent="0.25">
      <c r="A2597" s="2">
        <v>9106511</v>
      </c>
      <c r="B2597">
        <v>9106511</v>
      </c>
      <c r="C2597" t="str">
        <f>HYPERLINK("https://ois.dk/map/9106511/sfe", "Link")</f>
        <v>Link</v>
      </c>
      <c r="D2597" t="s">
        <v>359</v>
      </c>
      <c r="E2597" s="17">
        <v>1.75</v>
      </c>
      <c r="F2597" t="s">
        <v>3688</v>
      </c>
      <c r="G2597">
        <v>0.5</v>
      </c>
      <c r="H2597">
        <v>0.25</v>
      </c>
      <c r="I2597">
        <v>1</v>
      </c>
      <c r="Q2597" s="1"/>
      <c r="R2597" s="1">
        <v>0.41</v>
      </c>
    </row>
    <row r="2598" spans="1:18" ht="15.75" customHeight="1" x14ac:dyDescent="0.25">
      <c r="A2598" s="2">
        <v>9221726</v>
      </c>
      <c r="B2598">
        <v>9221726</v>
      </c>
      <c r="C2598" t="str">
        <f>HYPERLINK("https://ois.dk/map/9221726/sfe", "Link")</f>
        <v>Link</v>
      </c>
      <c r="D2598" t="s">
        <v>3689</v>
      </c>
      <c r="E2598" s="17">
        <v>0.75</v>
      </c>
      <c r="F2598" t="s">
        <v>3690</v>
      </c>
      <c r="G2598">
        <v>0.5</v>
      </c>
      <c r="H2598">
        <v>0.25</v>
      </c>
      <c r="Q2598" s="1"/>
      <c r="R2598" s="1"/>
    </row>
    <row r="2599" spans="1:18" ht="15.75" customHeight="1" x14ac:dyDescent="0.25">
      <c r="A2599" s="2">
        <v>9221727</v>
      </c>
      <c r="B2599">
        <v>9221727</v>
      </c>
      <c r="C2599" t="str">
        <f t="shared" ref="C2599:C2607" si="64">HYPERLINK("https://ois.dk/map/9221727/sfe", "Link")</f>
        <v>Link</v>
      </c>
      <c r="D2599" t="s">
        <v>3691</v>
      </c>
      <c r="E2599" s="17">
        <v>0.25</v>
      </c>
      <c r="F2599" t="s">
        <v>3692</v>
      </c>
      <c r="H2599">
        <v>0.25</v>
      </c>
      <c r="Q2599" s="1"/>
      <c r="R2599" s="1">
        <v>0.52</v>
      </c>
    </row>
    <row r="2600" spans="1:18" ht="15.75" customHeight="1" x14ac:dyDescent="0.25">
      <c r="A2600" s="2">
        <v>9221727</v>
      </c>
      <c r="B2600">
        <v>9221727</v>
      </c>
      <c r="C2600" t="str">
        <f t="shared" si="64"/>
        <v>Link</v>
      </c>
      <c r="D2600" t="s">
        <v>3691</v>
      </c>
      <c r="E2600" s="17">
        <v>1.5</v>
      </c>
      <c r="F2600" t="s">
        <v>3692</v>
      </c>
      <c r="G2600">
        <v>0.5</v>
      </c>
      <c r="I2600">
        <v>1</v>
      </c>
      <c r="Q2600" s="1"/>
      <c r="R2600" s="1">
        <v>0.52</v>
      </c>
    </row>
    <row r="2601" spans="1:18" ht="15.75" customHeight="1" x14ac:dyDescent="0.25">
      <c r="A2601" s="2">
        <v>9221727</v>
      </c>
      <c r="B2601">
        <v>9221727</v>
      </c>
      <c r="C2601" t="str">
        <f t="shared" si="64"/>
        <v>Link</v>
      </c>
      <c r="D2601" t="s">
        <v>3691</v>
      </c>
      <c r="E2601" s="17">
        <v>1.5</v>
      </c>
      <c r="F2601" t="s">
        <v>3693</v>
      </c>
      <c r="G2601">
        <v>0.5</v>
      </c>
      <c r="I2601">
        <v>1</v>
      </c>
      <c r="Q2601" s="1"/>
      <c r="R2601" s="1">
        <v>0.52</v>
      </c>
    </row>
    <row r="2602" spans="1:18" ht="15.75" customHeight="1" x14ac:dyDescent="0.25">
      <c r="A2602" s="2">
        <v>9221727</v>
      </c>
      <c r="B2602">
        <v>9221727</v>
      </c>
      <c r="C2602" t="str">
        <f t="shared" si="64"/>
        <v>Link</v>
      </c>
      <c r="D2602" t="s">
        <v>3691</v>
      </c>
      <c r="E2602" s="17">
        <v>1.5</v>
      </c>
      <c r="F2602" t="s">
        <v>3694</v>
      </c>
      <c r="G2602">
        <v>0.5</v>
      </c>
      <c r="I2602">
        <v>1</v>
      </c>
      <c r="Q2602" s="1"/>
      <c r="R2602" s="1">
        <v>0.52</v>
      </c>
    </row>
    <row r="2603" spans="1:18" ht="15.75" customHeight="1" x14ac:dyDescent="0.25">
      <c r="A2603" s="2">
        <v>9221727</v>
      </c>
      <c r="B2603">
        <v>9221727</v>
      </c>
      <c r="C2603" t="str">
        <f t="shared" si="64"/>
        <v>Link</v>
      </c>
      <c r="D2603" t="s">
        <v>3691</v>
      </c>
      <c r="E2603" s="17">
        <v>1.5</v>
      </c>
      <c r="F2603" t="s">
        <v>3695</v>
      </c>
      <c r="G2603">
        <v>0.5</v>
      </c>
      <c r="I2603">
        <v>1</v>
      </c>
      <c r="Q2603" s="1"/>
      <c r="R2603" s="1">
        <v>0.52</v>
      </c>
    </row>
    <row r="2604" spans="1:18" ht="15.75" customHeight="1" x14ac:dyDescent="0.25">
      <c r="A2604" s="2">
        <v>9221727</v>
      </c>
      <c r="B2604">
        <v>9221727</v>
      </c>
      <c r="C2604" t="str">
        <f t="shared" si="64"/>
        <v>Link</v>
      </c>
      <c r="D2604" t="s">
        <v>3691</v>
      </c>
      <c r="E2604" s="17">
        <v>1.5</v>
      </c>
      <c r="F2604" t="s">
        <v>3696</v>
      </c>
      <c r="G2604">
        <v>0.5</v>
      </c>
      <c r="I2604">
        <v>1</v>
      </c>
      <c r="Q2604" s="1"/>
      <c r="R2604" s="1">
        <v>0.73</v>
      </c>
    </row>
    <row r="2605" spans="1:18" ht="15.75" customHeight="1" x14ac:dyDescent="0.25">
      <c r="A2605" s="2">
        <v>9221727</v>
      </c>
      <c r="B2605">
        <v>9221727</v>
      </c>
      <c r="C2605" t="str">
        <f t="shared" si="64"/>
        <v>Link</v>
      </c>
      <c r="D2605" t="s">
        <v>3691</v>
      </c>
      <c r="E2605" s="17">
        <v>1.5</v>
      </c>
      <c r="F2605" t="s">
        <v>3697</v>
      </c>
      <c r="G2605">
        <v>0.5</v>
      </c>
      <c r="I2605">
        <v>1</v>
      </c>
      <c r="Q2605" s="1"/>
      <c r="R2605" s="1">
        <v>0.73</v>
      </c>
    </row>
    <row r="2606" spans="1:18" ht="15.75" customHeight="1" x14ac:dyDescent="0.25">
      <c r="A2606" s="2">
        <v>9221727</v>
      </c>
      <c r="B2606">
        <v>9221727</v>
      </c>
      <c r="C2606" t="str">
        <f t="shared" si="64"/>
        <v>Link</v>
      </c>
      <c r="D2606" t="s">
        <v>3691</v>
      </c>
      <c r="E2606" s="17">
        <v>1.5</v>
      </c>
      <c r="F2606" t="s">
        <v>3698</v>
      </c>
      <c r="G2606">
        <v>0.5</v>
      </c>
      <c r="I2606">
        <v>1</v>
      </c>
      <c r="Q2606" s="1"/>
      <c r="R2606" s="1">
        <v>0.84</v>
      </c>
    </row>
    <row r="2607" spans="1:18" ht="15.75" customHeight="1" x14ac:dyDescent="0.25">
      <c r="A2607" s="2">
        <v>9221727</v>
      </c>
      <c r="B2607">
        <v>9221727</v>
      </c>
      <c r="C2607" t="str">
        <f t="shared" si="64"/>
        <v>Link</v>
      </c>
      <c r="D2607" t="s">
        <v>3691</v>
      </c>
      <c r="E2607" s="17">
        <v>1.5</v>
      </c>
      <c r="F2607" t="s">
        <v>3699</v>
      </c>
      <c r="G2607">
        <v>0.5</v>
      </c>
      <c r="I2607">
        <v>1</v>
      </c>
      <c r="Q2607" s="1"/>
      <c r="R2607" s="1">
        <v>0.84</v>
      </c>
    </row>
    <row r="2608" spans="1:18" ht="15.75" customHeight="1" x14ac:dyDescent="0.25">
      <c r="A2608" s="2">
        <v>9221728</v>
      </c>
      <c r="B2608">
        <v>9221728</v>
      </c>
      <c r="C2608" t="str">
        <f>HYPERLINK("https://ois.dk/map/9221728/sfe", "Link")</f>
        <v>Link</v>
      </c>
      <c r="D2608" t="s">
        <v>3700</v>
      </c>
      <c r="E2608" s="17">
        <v>1.75</v>
      </c>
      <c r="F2608" t="s">
        <v>3701</v>
      </c>
      <c r="G2608">
        <v>0.5</v>
      </c>
      <c r="H2608">
        <v>0.25</v>
      </c>
      <c r="I2608">
        <v>1</v>
      </c>
      <c r="Q2608" s="1"/>
      <c r="R2608" s="1">
        <v>1.1299999999999999</v>
      </c>
    </row>
    <row r="2609" spans="1:18" ht="15.75" customHeight="1" x14ac:dyDescent="0.25">
      <c r="A2609" s="2">
        <v>9383103</v>
      </c>
      <c r="B2609">
        <v>9383103</v>
      </c>
      <c r="C2609" t="str">
        <f>HYPERLINK("https://ois.dk/map/9383103/sfe", "Link")</f>
        <v>Link</v>
      </c>
      <c r="D2609" t="s">
        <v>3702</v>
      </c>
      <c r="E2609" s="17">
        <v>1.75</v>
      </c>
      <c r="F2609" t="s">
        <v>3703</v>
      </c>
      <c r="G2609">
        <v>0.5</v>
      </c>
      <c r="H2609">
        <v>0.25</v>
      </c>
      <c r="I2609">
        <v>1</v>
      </c>
      <c r="Q2609" s="1"/>
      <c r="R2609" s="1">
        <v>0.89</v>
      </c>
    </row>
    <row r="2610" spans="1:18" ht="15.75" customHeight="1" x14ac:dyDescent="0.25">
      <c r="A2610" s="2">
        <v>9383104</v>
      </c>
      <c r="B2610">
        <v>9383104</v>
      </c>
      <c r="C2610" t="str">
        <f>HYPERLINK("https://ois.dk/map/9383104/sfe", "Link")</f>
        <v>Link</v>
      </c>
      <c r="D2610" t="s">
        <v>3704</v>
      </c>
      <c r="E2610" s="17">
        <v>1.75</v>
      </c>
      <c r="F2610" t="s">
        <v>3705</v>
      </c>
      <c r="G2610">
        <v>0.5</v>
      </c>
      <c r="H2610">
        <v>0.25</v>
      </c>
      <c r="I2610">
        <v>1</v>
      </c>
      <c r="Q2610" s="1"/>
      <c r="R2610" s="1">
        <v>1.17</v>
      </c>
    </row>
    <row r="2611" spans="1:18" ht="15.75" customHeight="1" x14ac:dyDescent="0.25">
      <c r="A2611" s="2">
        <v>9383105</v>
      </c>
      <c r="B2611">
        <v>9383105</v>
      </c>
      <c r="C2611" t="str">
        <f>HYPERLINK("https://ois.dk/map/9383105/sfe", "Link")</f>
        <v>Link</v>
      </c>
      <c r="D2611" t="s">
        <v>3706</v>
      </c>
      <c r="E2611" s="17">
        <v>1.75</v>
      </c>
      <c r="F2611" t="s">
        <v>3707</v>
      </c>
      <c r="G2611">
        <v>0.5</v>
      </c>
      <c r="H2611">
        <v>0.25</v>
      </c>
      <c r="I2611">
        <v>1</v>
      </c>
      <c r="Q2611" s="1"/>
      <c r="R2611" s="1">
        <v>1.25</v>
      </c>
    </row>
    <row r="2612" spans="1:18" ht="15.75" customHeight="1" x14ac:dyDescent="0.25">
      <c r="A2612" s="2">
        <v>9383106</v>
      </c>
      <c r="B2612">
        <v>9383106</v>
      </c>
      <c r="C2612" t="str">
        <f>HYPERLINK("https://ois.dk/map/9383106/sfe", "Link")</f>
        <v>Link</v>
      </c>
      <c r="D2612" t="s">
        <v>3708</v>
      </c>
      <c r="E2612" s="17">
        <v>1.75</v>
      </c>
      <c r="F2612" t="s">
        <v>3709</v>
      </c>
      <c r="G2612">
        <v>0.5</v>
      </c>
      <c r="H2612">
        <v>0.25</v>
      </c>
      <c r="I2612">
        <v>1</v>
      </c>
      <c r="Q2612" s="1"/>
      <c r="R2612" s="1">
        <v>1.29</v>
      </c>
    </row>
    <row r="2613" spans="1:18" ht="15.75" customHeight="1" x14ac:dyDescent="0.25">
      <c r="A2613" s="2">
        <v>9383107</v>
      </c>
      <c r="B2613">
        <v>9383107</v>
      </c>
      <c r="C2613" t="str">
        <f>HYPERLINK("https://ois.dk/map/9383107/sfe", "Link")</f>
        <v>Link</v>
      </c>
      <c r="D2613" t="s">
        <v>1406</v>
      </c>
      <c r="E2613" s="17">
        <v>1.75</v>
      </c>
      <c r="F2613" t="s">
        <v>3710</v>
      </c>
      <c r="G2613">
        <v>0.5</v>
      </c>
      <c r="H2613">
        <v>0.25</v>
      </c>
      <c r="I2613">
        <v>1</v>
      </c>
      <c r="Q2613" s="1"/>
      <c r="R2613" s="1">
        <v>0.8</v>
      </c>
    </row>
    <row r="2614" spans="1:18" ht="15.75" customHeight="1" x14ac:dyDescent="0.25">
      <c r="A2614" s="2">
        <v>9383108</v>
      </c>
      <c r="B2614">
        <v>9383108</v>
      </c>
      <c r="C2614" t="str">
        <f>HYPERLINK("https://ois.dk/map/9383108/sfe", "Link")</f>
        <v>Link</v>
      </c>
      <c r="D2614" t="s">
        <v>1408</v>
      </c>
      <c r="E2614" s="17">
        <v>1.75</v>
      </c>
      <c r="F2614" t="s">
        <v>3711</v>
      </c>
      <c r="G2614">
        <v>0.5</v>
      </c>
      <c r="H2614">
        <v>0.25</v>
      </c>
      <c r="I2614">
        <v>1</v>
      </c>
      <c r="Q2614" s="1"/>
      <c r="R2614" s="1">
        <v>0.67</v>
      </c>
    </row>
    <row r="2615" spans="1:18" ht="15.75" customHeight="1" x14ac:dyDescent="0.25">
      <c r="A2615" s="2">
        <v>9408392</v>
      </c>
      <c r="B2615">
        <v>9408392</v>
      </c>
      <c r="C2615" t="str">
        <f>HYPERLINK("https://ois.dk/map/9408392/sfe", "Link")</f>
        <v>Link</v>
      </c>
      <c r="D2615" t="s">
        <v>3712</v>
      </c>
      <c r="E2615" s="17">
        <v>0.75</v>
      </c>
      <c r="F2615" t="s">
        <v>3713</v>
      </c>
      <c r="G2615">
        <v>0.5</v>
      </c>
      <c r="H2615">
        <v>0.25</v>
      </c>
      <c r="Q2615" s="1"/>
      <c r="R2615" s="1"/>
    </row>
    <row r="2616" spans="1:18" ht="15.75" customHeight="1" x14ac:dyDescent="0.25">
      <c r="A2616" s="2">
        <v>9408394</v>
      </c>
      <c r="B2616">
        <v>9408394</v>
      </c>
      <c r="C2616" t="str">
        <f>HYPERLINK("https://ois.dk/map/9408394/sfe", "Link")</f>
        <v>Link</v>
      </c>
      <c r="D2616" t="s">
        <v>3714</v>
      </c>
      <c r="E2616" s="17">
        <v>2.0499999999999998</v>
      </c>
      <c r="F2616" t="s">
        <v>3715</v>
      </c>
      <c r="G2616">
        <v>0.5</v>
      </c>
      <c r="H2616">
        <v>0.25</v>
      </c>
      <c r="I2616">
        <v>1</v>
      </c>
      <c r="J2616">
        <v>0.3</v>
      </c>
      <c r="Q2616" s="1"/>
      <c r="R2616" s="1">
        <v>1.1399999999999999</v>
      </c>
    </row>
    <row r="2617" spans="1:18" ht="15.75" customHeight="1" x14ac:dyDescent="0.25">
      <c r="A2617" s="2">
        <v>9408395</v>
      </c>
      <c r="B2617">
        <v>9408395</v>
      </c>
      <c r="C2617" t="str">
        <f>HYPERLINK("https://ois.dk/map/9408395/sfe", "Link")</f>
        <v>Link</v>
      </c>
      <c r="D2617" t="s">
        <v>436</v>
      </c>
      <c r="E2617" s="17">
        <v>0.75</v>
      </c>
      <c r="G2617">
        <v>0.5</v>
      </c>
      <c r="H2617">
        <v>0.25</v>
      </c>
      <c r="Q2617" s="1"/>
      <c r="R2617" s="1"/>
    </row>
    <row r="2618" spans="1:18" ht="15.75" customHeight="1" x14ac:dyDescent="0.25">
      <c r="A2618" s="2">
        <v>9428352</v>
      </c>
      <c r="B2618">
        <v>9428352</v>
      </c>
      <c r="C2618" t="str">
        <f>HYPERLINK("https://ois.dk/map/9428352/sfe", "Link")</f>
        <v>Link</v>
      </c>
      <c r="D2618" t="s">
        <v>3716</v>
      </c>
      <c r="E2618" s="17">
        <v>0.75</v>
      </c>
      <c r="F2618" t="s">
        <v>3717</v>
      </c>
      <c r="G2618">
        <v>0.5</v>
      </c>
      <c r="H2618">
        <v>0.25</v>
      </c>
      <c r="Q2618" s="1"/>
      <c r="R2618" s="1"/>
    </row>
    <row r="2619" spans="1:18" ht="15.75" customHeight="1" x14ac:dyDescent="0.25">
      <c r="A2619" s="2">
        <v>9428383</v>
      </c>
      <c r="B2619">
        <v>9428383</v>
      </c>
      <c r="C2619" t="str">
        <f>HYPERLINK("https://ois.dk/map/9428383/sfe", "Link")</f>
        <v>Link</v>
      </c>
      <c r="D2619" t="s">
        <v>3718</v>
      </c>
      <c r="E2619" s="17">
        <v>0.59799999999999998</v>
      </c>
      <c r="F2619" t="s">
        <v>3719</v>
      </c>
      <c r="G2619">
        <v>0.5</v>
      </c>
      <c r="M2619">
        <v>9.8000000000000004E-2</v>
      </c>
      <c r="Q2619" s="1"/>
      <c r="R2619" s="1"/>
    </row>
    <row r="2620" spans="1:18" ht="15.75" customHeight="1" x14ac:dyDescent="0.25">
      <c r="A2620" s="2">
        <v>9428384</v>
      </c>
      <c r="B2620">
        <v>9428384</v>
      </c>
      <c r="C2620" t="str">
        <f>HYPERLINK("https://ois.dk/map/9428384/sfe", "Link")</f>
        <v>Link</v>
      </c>
      <c r="D2620" t="s">
        <v>3720</v>
      </c>
      <c r="E2620" s="17">
        <v>1.716</v>
      </c>
      <c r="F2620" t="s">
        <v>3721</v>
      </c>
      <c r="G2620">
        <v>0.5</v>
      </c>
      <c r="M2620">
        <v>1.216</v>
      </c>
      <c r="Q2620" s="1"/>
      <c r="R2620" s="1"/>
    </row>
    <row r="2621" spans="1:18" ht="15.75" customHeight="1" x14ac:dyDescent="0.25">
      <c r="A2621" s="2">
        <v>9428394</v>
      </c>
      <c r="B2621">
        <v>9428394</v>
      </c>
      <c r="C2621" t="str">
        <f>HYPERLINK("https://ois.dk/map/9428394/sfe", "Link")</f>
        <v>Link</v>
      </c>
      <c r="D2621" t="s">
        <v>1302</v>
      </c>
      <c r="E2621" s="17">
        <v>0.75</v>
      </c>
      <c r="F2621" t="s">
        <v>3722</v>
      </c>
      <c r="G2621">
        <v>0.5</v>
      </c>
      <c r="H2621">
        <v>0.25</v>
      </c>
      <c r="Q2621" s="1"/>
      <c r="R2621" s="1"/>
    </row>
    <row r="2622" spans="1:18" ht="15.75" customHeight="1" x14ac:dyDescent="0.25">
      <c r="A2622" s="2">
        <v>9428398</v>
      </c>
      <c r="B2622">
        <v>9428398</v>
      </c>
      <c r="C2622" t="str">
        <f>HYPERLINK("https://ois.dk/map/9428398/sfe", "Link")</f>
        <v>Link</v>
      </c>
      <c r="D2622" t="s">
        <v>3723</v>
      </c>
      <c r="E2622" s="17">
        <v>0.501</v>
      </c>
      <c r="F2622" t="s">
        <v>3724</v>
      </c>
      <c r="G2622">
        <v>0.5</v>
      </c>
      <c r="M2622">
        <v>1E-3</v>
      </c>
      <c r="Q2622" s="1"/>
      <c r="R2622" s="1"/>
    </row>
    <row r="2623" spans="1:18" ht="15.75" customHeight="1" x14ac:dyDescent="0.25">
      <c r="A2623" s="2">
        <v>9428410</v>
      </c>
      <c r="B2623">
        <v>9428410</v>
      </c>
      <c r="C2623" t="str">
        <f>HYPERLINK("https://ois.dk/map/9428410/sfe", "Link")</f>
        <v>Link</v>
      </c>
      <c r="D2623" t="s">
        <v>3725</v>
      </c>
      <c r="E2623" s="17">
        <v>0.5</v>
      </c>
      <c r="F2623" t="s">
        <v>3726</v>
      </c>
      <c r="G2623">
        <v>0.5</v>
      </c>
      <c r="Q2623" s="1"/>
      <c r="R2623" s="1"/>
    </row>
    <row r="2624" spans="1:18" ht="15.75" customHeight="1" x14ac:dyDescent="0.25">
      <c r="A2624" s="2">
        <v>9428417</v>
      </c>
      <c r="B2624">
        <v>286575</v>
      </c>
      <c r="C2624" t="str">
        <f>HYPERLINK("https://ois.dk/map/286575/sfe", "Link")</f>
        <v>Link</v>
      </c>
      <c r="D2624" t="s">
        <v>3727</v>
      </c>
      <c r="E2624" s="17">
        <v>1.5</v>
      </c>
      <c r="F2624" t="s">
        <v>3728</v>
      </c>
      <c r="G2624">
        <v>0.5</v>
      </c>
      <c r="I2624">
        <v>1</v>
      </c>
      <c r="Q2624" s="1"/>
      <c r="R2624" s="1">
        <v>1.44</v>
      </c>
    </row>
    <row r="2625" spans="1:18" ht="15.75" customHeight="1" x14ac:dyDescent="0.25">
      <c r="A2625" s="2">
        <v>9428417</v>
      </c>
      <c r="B2625">
        <v>286576</v>
      </c>
      <c r="C2625" t="str">
        <f t="shared" ref="C2625:C2630" si="65">HYPERLINK("https://ois.dk/map/286576/sfe", "Link")</f>
        <v>Link</v>
      </c>
      <c r="D2625" t="s">
        <v>3727</v>
      </c>
      <c r="E2625" s="17">
        <v>1.5</v>
      </c>
      <c r="F2625" t="s">
        <v>3729</v>
      </c>
      <c r="G2625">
        <v>0.5</v>
      </c>
      <c r="I2625">
        <v>1</v>
      </c>
      <c r="Q2625" s="1"/>
      <c r="R2625" s="1">
        <v>1.44</v>
      </c>
    </row>
    <row r="2626" spans="1:18" ht="15.75" customHeight="1" x14ac:dyDescent="0.25">
      <c r="A2626" s="2">
        <v>9428417</v>
      </c>
      <c r="B2626">
        <v>286576</v>
      </c>
      <c r="C2626" t="str">
        <f t="shared" si="65"/>
        <v>Link</v>
      </c>
      <c r="D2626" t="s">
        <v>3727</v>
      </c>
      <c r="E2626" s="17">
        <v>0.5</v>
      </c>
      <c r="F2626" t="s">
        <v>3730</v>
      </c>
      <c r="G2626">
        <v>0.5</v>
      </c>
      <c r="Q2626" s="1"/>
      <c r="R2626" s="1"/>
    </row>
    <row r="2627" spans="1:18" ht="15.75" customHeight="1" x14ac:dyDescent="0.25">
      <c r="A2627" s="2">
        <v>9428417</v>
      </c>
      <c r="B2627">
        <v>286576</v>
      </c>
      <c r="C2627" t="str">
        <f t="shared" si="65"/>
        <v>Link</v>
      </c>
      <c r="D2627" t="s">
        <v>3727</v>
      </c>
      <c r="E2627" s="17">
        <v>0.5</v>
      </c>
      <c r="F2627" t="s">
        <v>3731</v>
      </c>
      <c r="G2627">
        <v>0.5</v>
      </c>
      <c r="Q2627" s="1"/>
      <c r="R2627" s="1"/>
    </row>
    <row r="2628" spans="1:18" ht="15.75" customHeight="1" x14ac:dyDescent="0.25">
      <c r="A2628" s="2">
        <v>9428417</v>
      </c>
      <c r="B2628">
        <v>286576</v>
      </c>
      <c r="C2628" t="str">
        <f t="shared" si="65"/>
        <v>Link</v>
      </c>
      <c r="D2628" t="s">
        <v>3727</v>
      </c>
      <c r="E2628" s="17">
        <v>0.5</v>
      </c>
      <c r="F2628" t="s">
        <v>3732</v>
      </c>
      <c r="G2628">
        <v>0.5</v>
      </c>
      <c r="Q2628" s="1"/>
      <c r="R2628" s="1"/>
    </row>
    <row r="2629" spans="1:18" ht="15.75" customHeight="1" x14ac:dyDescent="0.25">
      <c r="A2629" s="2">
        <v>9428417</v>
      </c>
      <c r="B2629">
        <v>286576</v>
      </c>
      <c r="C2629" t="str">
        <f t="shared" si="65"/>
        <v>Link</v>
      </c>
      <c r="D2629" t="s">
        <v>3727</v>
      </c>
      <c r="E2629" s="17">
        <v>1.5</v>
      </c>
      <c r="F2629" t="s">
        <v>3733</v>
      </c>
      <c r="G2629">
        <v>0.5</v>
      </c>
      <c r="I2629">
        <v>1</v>
      </c>
      <c r="Q2629" s="1"/>
      <c r="R2629" s="1">
        <v>1.44</v>
      </c>
    </row>
    <row r="2630" spans="1:18" ht="15.75" customHeight="1" x14ac:dyDescent="0.25">
      <c r="A2630" s="2">
        <v>9428417</v>
      </c>
      <c r="B2630">
        <v>286576</v>
      </c>
      <c r="C2630" t="str">
        <f t="shared" si="65"/>
        <v>Link</v>
      </c>
      <c r="D2630" t="s">
        <v>3727</v>
      </c>
      <c r="E2630" s="17">
        <v>1.5</v>
      </c>
      <c r="F2630" t="s">
        <v>3734</v>
      </c>
      <c r="G2630">
        <v>0.5</v>
      </c>
      <c r="I2630">
        <v>1</v>
      </c>
      <c r="Q2630" s="1"/>
      <c r="R2630" s="1">
        <v>1.44</v>
      </c>
    </row>
    <row r="2631" spans="1:18" ht="15.75" customHeight="1" x14ac:dyDescent="0.25">
      <c r="A2631" s="2">
        <v>9428417</v>
      </c>
      <c r="B2631">
        <v>9428417</v>
      </c>
      <c r="C2631" t="str">
        <f>HYPERLINK("https://ois.dk/map/9428417/sfe", "Link")</f>
        <v>Link</v>
      </c>
      <c r="D2631" t="s">
        <v>3727</v>
      </c>
      <c r="E2631" s="17">
        <v>0.25</v>
      </c>
      <c r="F2631" t="s">
        <v>3728</v>
      </c>
      <c r="H2631">
        <v>0.25</v>
      </c>
      <c r="Q2631" s="1"/>
      <c r="R2631" s="1">
        <v>1.44</v>
      </c>
    </row>
    <row r="2632" spans="1:18" ht="15.75" customHeight="1" x14ac:dyDescent="0.25">
      <c r="A2632" s="2">
        <v>9428418</v>
      </c>
      <c r="B2632">
        <v>9428418</v>
      </c>
      <c r="C2632" t="str">
        <f>HYPERLINK("https://ois.dk/map/9428418/sfe", "Link")</f>
        <v>Link</v>
      </c>
      <c r="D2632" t="s">
        <v>3735</v>
      </c>
      <c r="E2632" s="17">
        <v>0.25</v>
      </c>
      <c r="F2632" t="s">
        <v>3736</v>
      </c>
      <c r="H2632">
        <v>0.25</v>
      </c>
      <c r="Q2632" s="1"/>
      <c r="R2632" s="1"/>
    </row>
    <row r="2633" spans="1:18" ht="15.75" customHeight="1" x14ac:dyDescent="0.25">
      <c r="A2633" s="2">
        <v>9428419</v>
      </c>
      <c r="B2633">
        <v>9428419</v>
      </c>
      <c r="C2633" t="str">
        <f>HYPERLINK("https://ois.dk/map/9428419/sfe", "Link")</f>
        <v>Link</v>
      </c>
      <c r="D2633" t="s">
        <v>3737</v>
      </c>
      <c r="E2633" s="17">
        <v>0.5</v>
      </c>
      <c r="F2633" t="s">
        <v>3738</v>
      </c>
      <c r="G2633">
        <v>0.5</v>
      </c>
      <c r="Q2633" s="1"/>
      <c r="R2633" s="1"/>
    </row>
    <row r="2634" spans="1:18" ht="15.75" customHeight="1" x14ac:dyDescent="0.25">
      <c r="A2634" s="2">
        <v>9428420</v>
      </c>
      <c r="B2634">
        <v>9428420</v>
      </c>
      <c r="C2634" t="str">
        <f>HYPERLINK("https://ois.dk/map/9428420/sfe", "Link")</f>
        <v>Link</v>
      </c>
      <c r="D2634" t="s">
        <v>3739</v>
      </c>
      <c r="E2634" s="17">
        <v>0.75</v>
      </c>
      <c r="G2634">
        <v>0.5</v>
      </c>
      <c r="H2634">
        <v>0.25</v>
      </c>
      <c r="Q2634" s="1"/>
      <c r="R2634" s="1"/>
    </row>
    <row r="2635" spans="1:18" ht="15.75" customHeight="1" x14ac:dyDescent="0.25">
      <c r="A2635" s="2">
        <v>9428421</v>
      </c>
      <c r="B2635">
        <v>9428421</v>
      </c>
      <c r="C2635" t="str">
        <f t="shared" ref="C2635:C2642" si="66">HYPERLINK("https://ois.dk/map/9428421/sfe", "Link")</f>
        <v>Link</v>
      </c>
      <c r="D2635" t="s">
        <v>3740</v>
      </c>
      <c r="E2635" s="17">
        <v>1.25</v>
      </c>
      <c r="F2635" t="s">
        <v>3741</v>
      </c>
      <c r="H2635">
        <v>0.25</v>
      </c>
      <c r="K2635">
        <v>1</v>
      </c>
      <c r="Q2635" s="1"/>
      <c r="R2635" s="1">
        <v>1.32</v>
      </c>
    </row>
    <row r="2636" spans="1:18" ht="15.75" customHeight="1" x14ac:dyDescent="0.25">
      <c r="A2636" s="2">
        <v>9428421</v>
      </c>
      <c r="B2636">
        <v>9428421</v>
      </c>
      <c r="C2636" t="str">
        <f t="shared" si="66"/>
        <v>Link</v>
      </c>
      <c r="D2636" t="s">
        <v>3740</v>
      </c>
      <c r="E2636" s="17">
        <v>0.5</v>
      </c>
      <c r="F2636" t="s">
        <v>1242</v>
      </c>
      <c r="G2636">
        <v>0.5</v>
      </c>
      <c r="Q2636" s="1"/>
      <c r="R2636" s="1"/>
    </row>
    <row r="2637" spans="1:18" ht="15.75" customHeight="1" x14ac:dyDescent="0.25">
      <c r="A2637" s="2">
        <v>9428421</v>
      </c>
      <c r="B2637">
        <v>9428421</v>
      </c>
      <c r="C2637" t="str">
        <f t="shared" si="66"/>
        <v>Link</v>
      </c>
      <c r="D2637" t="s">
        <v>3740</v>
      </c>
      <c r="E2637" s="17">
        <v>0.5</v>
      </c>
      <c r="F2637" t="s">
        <v>1242</v>
      </c>
      <c r="G2637">
        <v>0.5</v>
      </c>
      <c r="Q2637" s="1"/>
      <c r="R2637" s="1"/>
    </row>
    <row r="2638" spans="1:18" ht="15.75" customHeight="1" x14ac:dyDescent="0.25">
      <c r="A2638" s="2">
        <v>9428421</v>
      </c>
      <c r="B2638">
        <v>9428421</v>
      </c>
      <c r="C2638" t="str">
        <f t="shared" si="66"/>
        <v>Link</v>
      </c>
      <c r="D2638" t="s">
        <v>3740</v>
      </c>
      <c r="E2638" s="17">
        <v>0.5</v>
      </c>
      <c r="F2638" t="s">
        <v>1242</v>
      </c>
      <c r="G2638">
        <v>0.5</v>
      </c>
      <c r="Q2638" s="1"/>
      <c r="R2638" s="1"/>
    </row>
    <row r="2639" spans="1:18" ht="15.75" customHeight="1" x14ac:dyDescent="0.25">
      <c r="A2639" s="2">
        <v>9428421</v>
      </c>
      <c r="B2639">
        <v>9428421</v>
      </c>
      <c r="C2639" t="str">
        <f t="shared" si="66"/>
        <v>Link</v>
      </c>
      <c r="D2639" t="s">
        <v>3740</v>
      </c>
      <c r="E2639" s="17">
        <v>0.5</v>
      </c>
      <c r="F2639" t="s">
        <v>1242</v>
      </c>
      <c r="G2639">
        <v>0.5</v>
      </c>
      <c r="Q2639" s="1"/>
      <c r="R2639" s="1"/>
    </row>
    <row r="2640" spans="1:18" ht="15.75" customHeight="1" x14ac:dyDescent="0.25">
      <c r="A2640" s="2">
        <v>9428421</v>
      </c>
      <c r="B2640">
        <v>9428421</v>
      </c>
      <c r="C2640" t="str">
        <f t="shared" si="66"/>
        <v>Link</v>
      </c>
      <c r="D2640" t="s">
        <v>3740</v>
      </c>
      <c r="E2640" s="17">
        <v>0.5</v>
      </c>
      <c r="F2640" t="s">
        <v>3741</v>
      </c>
      <c r="G2640">
        <v>0.5</v>
      </c>
      <c r="Q2640" s="1"/>
      <c r="R2640" s="1"/>
    </row>
    <row r="2641" spans="1:18" ht="15.75" customHeight="1" x14ac:dyDescent="0.25">
      <c r="A2641" s="2">
        <v>9428421</v>
      </c>
      <c r="B2641">
        <v>9428421</v>
      </c>
      <c r="C2641" t="str">
        <f t="shared" si="66"/>
        <v>Link</v>
      </c>
      <c r="D2641" t="s">
        <v>3740</v>
      </c>
      <c r="E2641" s="17">
        <v>1.5</v>
      </c>
      <c r="F2641" t="s">
        <v>3742</v>
      </c>
      <c r="G2641">
        <v>0.5</v>
      </c>
      <c r="I2641">
        <v>1</v>
      </c>
      <c r="Q2641" s="1"/>
      <c r="R2641" s="1">
        <v>1.32</v>
      </c>
    </row>
    <row r="2642" spans="1:18" ht="15.75" customHeight="1" x14ac:dyDescent="0.25">
      <c r="A2642" s="2">
        <v>9428421</v>
      </c>
      <c r="B2642">
        <v>9428421</v>
      </c>
      <c r="C2642" t="str">
        <f t="shared" si="66"/>
        <v>Link</v>
      </c>
      <c r="D2642" t="s">
        <v>3740</v>
      </c>
      <c r="E2642" s="17">
        <v>1.5</v>
      </c>
      <c r="F2642" t="s">
        <v>3743</v>
      </c>
      <c r="G2642">
        <v>0.5</v>
      </c>
      <c r="I2642">
        <v>1</v>
      </c>
      <c r="Q2642" s="1"/>
      <c r="R2642" s="1">
        <v>1.32</v>
      </c>
    </row>
    <row r="2643" spans="1:18" ht="15.75" customHeight="1" x14ac:dyDescent="0.25">
      <c r="A2643" s="2">
        <v>9428423</v>
      </c>
      <c r="B2643">
        <v>733060</v>
      </c>
      <c r="C2643" t="str">
        <f>HYPERLINK("https://ois.dk/map/733060/sfe", "Link")</f>
        <v>Link</v>
      </c>
      <c r="D2643" t="s">
        <v>3744</v>
      </c>
      <c r="E2643" s="17">
        <v>1.5</v>
      </c>
      <c r="F2643" t="s">
        <v>3745</v>
      </c>
      <c r="G2643">
        <v>0.5</v>
      </c>
      <c r="K2643">
        <v>1</v>
      </c>
      <c r="Q2643" s="1"/>
      <c r="R2643" s="1"/>
    </row>
    <row r="2644" spans="1:18" ht="15.75" customHeight="1" x14ac:dyDescent="0.25">
      <c r="A2644" s="2">
        <v>9428423</v>
      </c>
      <c r="B2644">
        <v>9428423</v>
      </c>
      <c r="C2644" t="str">
        <f>HYPERLINK("https://ois.dk/map/9428423/sfe", "Link")</f>
        <v>Link</v>
      </c>
      <c r="D2644" t="s">
        <v>3744</v>
      </c>
      <c r="E2644" s="17">
        <v>0.75</v>
      </c>
      <c r="F2644" t="s">
        <v>3745</v>
      </c>
      <c r="G2644">
        <v>0.5</v>
      </c>
      <c r="H2644">
        <v>0.25</v>
      </c>
      <c r="Q2644" s="1"/>
      <c r="R2644" s="1"/>
    </row>
    <row r="2645" spans="1:18" ht="15.75" customHeight="1" x14ac:dyDescent="0.25">
      <c r="A2645" s="2">
        <v>9428424</v>
      </c>
      <c r="B2645">
        <v>9428424</v>
      </c>
      <c r="C2645" t="str">
        <f t="shared" ref="C2645:C2665" si="67">HYPERLINK("https://ois.dk/map/9428424/sfe", "Link")</f>
        <v>Link</v>
      </c>
      <c r="D2645" t="s">
        <v>3746</v>
      </c>
      <c r="E2645" s="17">
        <v>0.25</v>
      </c>
      <c r="F2645" t="s">
        <v>3747</v>
      </c>
      <c r="H2645">
        <v>0.25</v>
      </c>
      <c r="Q2645" s="1"/>
      <c r="R2645" s="1">
        <v>0.35</v>
      </c>
    </row>
    <row r="2646" spans="1:18" ht="15.75" customHeight="1" x14ac:dyDescent="0.25">
      <c r="A2646" s="2">
        <v>9428424</v>
      </c>
      <c r="B2646">
        <v>9428424</v>
      </c>
      <c r="C2646" t="str">
        <f t="shared" si="67"/>
        <v>Link</v>
      </c>
      <c r="D2646" t="s">
        <v>3746</v>
      </c>
      <c r="E2646" s="17">
        <v>1.5</v>
      </c>
      <c r="F2646" t="s">
        <v>3747</v>
      </c>
      <c r="G2646">
        <v>0.5</v>
      </c>
      <c r="I2646">
        <v>1</v>
      </c>
      <c r="Q2646" s="1"/>
      <c r="R2646" s="1">
        <v>0.63</v>
      </c>
    </row>
    <row r="2647" spans="1:18" ht="15.75" customHeight="1" x14ac:dyDescent="0.25">
      <c r="A2647" s="2">
        <v>9428424</v>
      </c>
      <c r="B2647">
        <v>9428424</v>
      </c>
      <c r="C2647" t="str">
        <f t="shared" si="67"/>
        <v>Link</v>
      </c>
      <c r="D2647" t="s">
        <v>3746</v>
      </c>
      <c r="E2647" s="17">
        <v>1.5</v>
      </c>
      <c r="F2647" t="s">
        <v>3748</v>
      </c>
      <c r="G2647">
        <v>0.5</v>
      </c>
      <c r="I2647">
        <v>1</v>
      </c>
      <c r="Q2647" s="1"/>
      <c r="R2647" s="1">
        <v>0.63</v>
      </c>
    </row>
    <row r="2648" spans="1:18" ht="15.75" customHeight="1" x14ac:dyDescent="0.25">
      <c r="A2648" s="2">
        <v>9428424</v>
      </c>
      <c r="B2648">
        <v>9428424</v>
      </c>
      <c r="C2648" t="str">
        <f t="shared" si="67"/>
        <v>Link</v>
      </c>
      <c r="D2648" t="s">
        <v>3746</v>
      </c>
      <c r="E2648" s="17">
        <v>1.5</v>
      </c>
      <c r="F2648" t="s">
        <v>3749</v>
      </c>
      <c r="G2648">
        <v>0.5</v>
      </c>
      <c r="I2648">
        <v>1</v>
      </c>
      <c r="Q2648" s="1"/>
      <c r="R2648" s="1">
        <v>0.63</v>
      </c>
    </row>
    <row r="2649" spans="1:18" ht="15.75" customHeight="1" x14ac:dyDescent="0.25">
      <c r="A2649" s="2">
        <v>9428424</v>
      </c>
      <c r="B2649">
        <v>9428424</v>
      </c>
      <c r="C2649" t="str">
        <f t="shared" si="67"/>
        <v>Link</v>
      </c>
      <c r="D2649" t="s">
        <v>3746</v>
      </c>
      <c r="E2649" s="17">
        <v>1.5</v>
      </c>
      <c r="F2649" t="s">
        <v>3750</v>
      </c>
      <c r="G2649">
        <v>0.5</v>
      </c>
      <c r="I2649">
        <v>1</v>
      </c>
      <c r="Q2649" s="1"/>
      <c r="R2649" s="1">
        <v>0.63</v>
      </c>
    </row>
    <row r="2650" spans="1:18" ht="15.75" customHeight="1" x14ac:dyDescent="0.25">
      <c r="A2650" s="2">
        <v>9428424</v>
      </c>
      <c r="B2650">
        <v>9428424</v>
      </c>
      <c r="C2650" t="str">
        <f t="shared" si="67"/>
        <v>Link</v>
      </c>
      <c r="D2650" t="s">
        <v>3746</v>
      </c>
      <c r="E2650" s="17">
        <v>1.5</v>
      </c>
      <c r="F2650" t="s">
        <v>3751</v>
      </c>
      <c r="G2650">
        <v>0.5</v>
      </c>
      <c r="I2650">
        <v>1</v>
      </c>
      <c r="Q2650" s="1"/>
      <c r="R2650" s="1">
        <v>0.63</v>
      </c>
    </row>
    <row r="2651" spans="1:18" ht="15.75" customHeight="1" x14ac:dyDescent="0.25">
      <c r="A2651" s="2">
        <v>9428424</v>
      </c>
      <c r="B2651">
        <v>9428424</v>
      </c>
      <c r="C2651" t="str">
        <f t="shared" si="67"/>
        <v>Link</v>
      </c>
      <c r="D2651" t="s">
        <v>3746</v>
      </c>
      <c r="E2651" s="17">
        <v>1.5</v>
      </c>
      <c r="F2651" t="s">
        <v>3752</v>
      </c>
      <c r="G2651">
        <v>0.5</v>
      </c>
      <c r="I2651">
        <v>1</v>
      </c>
      <c r="Q2651" s="1"/>
      <c r="R2651" s="1">
        <v>0.37</v>
      </c>
    </row>
    <row r="2652" spans="1:18" ht="15.75" customHeight="1" x14ac:dyDescent="0.25">
      <c r="A2652" s="2">
        <v>9428424</v>
      </c>
      <c r="B2652">
        <v>9428424</v>
      </c>
      <c r="C2652" t="str">
        <f t="shared" si="67"/>
        <v>Link</v>
      </c>
      <c r="D2652" t="s">
        <v>3746</v>
      </c>
      <c r="E2652" s="17">
        <v>1.5</v>
      </c>
      <c r="F2652" t="s">
        <v>3753</v>
      </c>
      <c r="G2652">
        <v>0.5</v>
      </c>
      <c r="I2652">
        <v>1</v>
      </c>
      <c r="Q2652" s="1"/>
      <c r="R2652" s="1">
        <v>0.37</v>
      </c>
    </row>
    <row r="2653" spans="1:18" ht="15.75" customHeight="1" x14ac:dyDescent="0.25">
      <c r="A2653" s="2">
        <v>9428424</v>
      </c>
      <c r="B2653">
        <v>9428424</v>
      </c>
      <c r="C2653" t="str">
        <f t="shared" si="67"/>
        <v>Link</v>
      </c>
      <c r="D2653" t="s">
        <v>3746</v>
      </c>
      <c r="E2653" s="17">
        <v>1.5</v>
      </c>
      <c r="F2653" t="s">
        <v>3754</v>
      </c>
      <c r="G2653">
        <v>0.5</v>
      </c>
      <c r="I2653">
        <v>1</v>
      </c>
      <c r="Q2653" s="1"/>
      <c r="R2653" s="1">
        <v>0.37</v>
      </c>
    </row>
    <row r="2654" spans="1:18" ht="15.75" customHeight="1" x14ac:dyDescent="0.25">
      <c r="A2654" s="2">
        <v>9428424</v>
      </c>
      <c r="B2654">
        <v>9428424</v>
      </c>
      <c r="C2654" t="str">
        <f t="shared" si="67"/>
        <v>Link</v>
      </c>
      <c r="D2654" t="s">
        <v>3746</v>
      </c>
      <c r="E2654" s="17">
        <v>1.5</v>
      </c>
      <c r="F2654" t="s">
        <v>3755</v>
      </c>
      <c r="G2654">
        <v>0.5</v>
      </c>
      <c r="I2654">
        <v>1</v>
      </c>
      <c r="Q2654" s="1"/>
      <c r="R2654" s="1">
        <v>0.37</v>
      </c>
    </row>
    <row r="2655" spans="1:18" ht="15.75" customHeight="1" x14ac:dyDescent="0.25">
      <c r="A2655" s="2">
        <v>9428424</v>
      </c>
      <c r="B2655">
        <v>9428424</v>
      </c>
      <c r="C2655" t="str">
        <f t="shared" si="67"/>
        <v>Link</v>
      </c>
      <c r="D2655" t="s">
        <v>3746</v>
      </c>
      <c r="E2655" s="17">
        <v>1.5</v>
      </c>
      <c r="F2655" t="s">
        <v>3756</v>
      </c>
      <c r="G2655">
        <v>0.5</v>
      </c>
      <c r="I2655">
        <v>1</v>
      </c>
      <c r="Q2655" s="1"/>
      <c r="R2655" s="1">
        <v>0.37</v>
      </c>
    </row>
    <row r="2656" spans="1:18" ht="15.75" customHeight="1" x14ac:dyDescent="0.25">
      <c r="A2656" s="2">
        <v>9428424</v>
      </c>
      <c r="B2656">
        <v>9428424</v>
      </c>
      <c r="C2656" t="str">
        <f t="shared" si="67"/>
        <v>Link</v>
      </c>
      <c r="D2656" t="s">
        <v>3746</v>
      </c>
      <c r="E2656" s="17">
        <v>1.5</v>
      </c>
      <c r="F2656" t="s">
        <v>3757</v>
      </c>
      <c r="G2656">
        <v>0.5</v>
      </c>
      <c r="I2656">
        <v>1</v>
      </c>
      <c r="Q2656" s="1"/>
      <c r="R2656" s="1">
        <v>0.37</v>
      </c>
    </row>
    <row r="2657" spans="1:18" ht="15.75" customHeight="1" x14ac:dyDescent="0.25">
      <c r="A2657" s="2">
        <v>9428424</v>
      </c>
      <c r="B2657">
        <v>9428424</v>
      </c>
      <c r="C2657" t="str">
        <f t="shared" si="67"/>
        <v>Link</v>
      </c>
      <c r="D2657" t="s">
        <v>3746</v>
      </c>
      <c r="E2657" s="17">
        <v>1.5</v>
      </c>
      <c r="F2657" t="s">
        <v>3758</v>
      </c>
      <c r="G2657">
        <v>0.5</v>
      </c>
      <c r="I2657">
        <v>1</v>
      </c>
      <c r="Q2657" s="1"/>
      <c r="R2657" s="1">
        <v>0.5</v>
      </c>
    </row>
    <row r="2658" spans="1:18" ht="15.75" customHeight="1" x14ac:dyDescent="0.25">
      <c r="A2658" s="2">
        <v>9428424</v>
      </c>
      <c r="B2658">
        <v>9428424</v>
      </c>
      <c r="C2658" t="str">
        <f t="shared" si="67"/>
        <v>Link</v>
      </c>
      <c r="D2658" t="s">
        <v>3746</v>
      </c>
      <c r="E2658" s="17">
        <v>1.5</v>
      </c>
      <c r="F2658" t="s">
        <v>3759</v>
      </c>
      <c r="G2658">
        <v>0.5</v>
      </c>
      <c r="I2658">
        <v>1</v>
      </c>
      <c r="Q2658" s="1"/>
      <c r="R2658" s="1">
        <v>0.5</v>
      </c>
    </row>
    <row r="2659" spans="1:18" ht="15.75" customHeight="1" x14ac:dyDescent="0.25">
      <c r="A2659" s="2">
        <v>9428424</v>
      </c>
      <c r="B2659">
        <v>9428424</v>
      </c>
      <c r="C2659" t="str">
        <f t="shared" si="67"/>
        <v>Link</v>
      </c>
      <c r="D2659" t="s">
        <v>3746</v>
      </c>
      <c r="E2659" s="17">
        <v>1.5</v>
      </c>
      <c r="F2659" t="s">
        <v>3760</v>
      </c>
      <c r="G2659">
        <v>0.5</v>
      </c>
      <c r="I2659">
        <v>1</v>
      </c>
      <c r="Q2659" s="1"/>
      <c r="R2659" s="1">
        <v>0.5</v>
      </c>
    </row>
    <row r="2660" spans="1:18" ht="15.75" customHeight="1" x14ac:dyDescent="0.25">
      <c r="A2660" s="2">
        <v>9428424</v>
      </c>
      <c r="B2660">
        <v>9428424</v>
      </c>
      <c r="C2660" t="str">
        <f t="shared" si="67"/>
        <v>Link</v>
      </c>
      <c r="D2660" t="s">
        <v>3746</v>
      </c>
      <c r="E2660" s="17">
        <v>1.5</v>
      </c>
      <c r="F2660" t="s">
        <v>3761</v>
      </c>
      <c r="G2660">
        <v>0.5</v>
      </c>
      <c r="I2660">
        <v>1</v>
      </c>
      <c r="Q2660" s="1"/>
      <c r="R2660" s="1">
        <v>0.5</v>
      </c>
    </row>
    <row r="2661" spans="1:18" ht="15.75" customHeight="1" x14ac:dyDescent="0.25">
      <c r="A2661" s="2">
        <v>9428424</v>
      </c>
      <c r="B2661">
        <v>9428424</v>
      </c>
      <c r="C2661" t="str">
        <f t="shared" si="67"/>
        <v>Link</v>
      </c>
      <c r="D2661" t="s">
        <v>3746</v>
      </c>
      <c r="E2661" s="17">
        <v>1.5</v>
      </c>
      <c r="F2661" t="s">
        <v>3762</v>
      </c>
      <c r="G2661">
        <v>0.5</v>
      </c>
      <c r="I2661">
        <v>1</v>
      </c>
      <c r="Q2661" s="1"/>
      <c r="R2661" s="1">
        <v>0.35</v>
      </c>
    </row>
    <row r="2662" spans="1:18" ht="15.75" customHeight="1" x14ac:dyDescent="0.25">
      <c r="A2662" s="2">
        <v>9428424</v>
      </c>
      <c r="B2662">
        <v>9428424</v>
      </c>
      <c r="C2662" t="str">
        <f t="shared" si="67"/>
        <v>Link</v>
      </c>
      <c r="D2662" t="s">
        <v>3746</v>
      </c>
      <c r="E2662" s="17">
        <v>1.5</v>
      </c>
      <c r="F2662" t="s">
        <v>3763</v>
      </c>
      <c r="G2662">
        <v>0.5</v>
      </c>
      <c r="I2662">
        <v>1</v>
      </c>
      <c r="Q2662" s="1"/>
      <c r="R2662" s="1">
        <v>0.35</v>
      </c>
    </row>
    <row r="2663" spans="1:18" ht="15.75" customHeight="1" x14ac:dyDescent="0.25">
      <c r="A2663" s="2">
        <v>9428424</v>
      </c>
      <c r="B2663">
        <v>9428424</v>
      </c>
      <c r="C2663" t="str">
        <f t="shared" si="67"/>
        <v>Link</v>
      </c>
      <c r="D2663" t="s">
        <v>3746</v>
      </c>
      <c r="E2663" s="17">
        <v>1.5</v>
      </c>
      <c r="F2663" t="s">
        <v>3764</v>
      </c>
      <c r="G2663">
        <v>0.5</v>
      </c>
      <c r="I2663">
        <v>1</v>
      </c>
      <c r="Q2663" s="1"/>
      <c r="R2663" s="1">
        <v>0.35</v>
      </c>
    </row>
    <row r="2664" spans="1:18" ht="15.75" customHeight="1" x14ac:dyDescent="0.25">
      <c r="A2664" s="2">
        <v>9428424</v>
      </c>
      <c r="B2664">
        <v>9428424</v>
      </c>
      <c r="C2664" t="str">
        <f t="shared" si="67"/>
        <v>Link</v>
      </c>
      <c r="D2664" t="s">
        <v>3746</v>
      </c>
      <c r="E2664" s="17">
        <v>1.5</v>
      </c>
      <c r="F2664" t="s">
        <v>3765</v>
      </c>
      <c r="G2664">
        <v>0.5</v>
      </c>
      <c r="I2664">
        <v>1</v>
      </c>
      <c r="Q2664" s="1"/>
      <c r="R2664" s="1">
        <v>0.35</v>
      </c>
    </row>
    <row r="2665" spans="1:18" ht="15.75" customHeight="1" x14ac:dyDescent="0.25">
      <c r="A2665" s="2">
        <v>9428424</v>
      </c>
      <c r="B2665">
        <v>9428424</v>
      </c>
      <c r="C2665" t="str">
        <f t="shared" si="67"/>
        <v>Link</v>
      </c>
      <c r="D2665" t="s">
        <v>3746</v>
      </c>
      <c r="E2665" s="17">
        <v>1.5</v>
      </c>
      <c r="F2665" t="s">
        <v>3766</v>
      </c>
      <c r="G2665">
        <v>0.5</v>
      </c>
      <c r="I2665">
        <v>1</v>
      </c>
      <c r="Q2665" s="1"/>
      <c r="R2665" s="1">
        <v>0.35</v>
      </c>
    </row>
    <row r="2666" spans="1:18" ht="15.75" customHeight="1" x14ac:dyDescent="0.25">
      <c r="A2666" s="2">
        <v>9428425</v>
      </c>
      <c r="B2666">
        <v>9428425</v>
      </c>
      <c r="C2666" t="str">
        <f>HYPERLINK("https://ois.dk/map/9428425/sfe", "Link")</f>
        <v>Link</v>
      </c>
      <c r="D2666" t="s">
        <v>3767</v>
      </c>
      <c r="E2666" s="17">
        <v>0.75</v>
      </c>
      <c r="G2666">
        <v>0.5</v>
      </c>
      <c r="H2666">
        <v>0.25</v>
      </c>
      <c r="Q2666" s="1"/>
      <c r="R2666" s="1"/>
    </row>
    <row r="2667" spans="1:18" ht="15.75" customHeight="1" x14ac:dyDescent="0.25">
      <c r="A2667" s="2">
        <v>9428426</v>
      </c>
      <c r="B2667">
        <v>9428426</v>
      </c>
      <c r="C2667" t="str">
        <f>HYPERLINK("https://ois.dk/map/9428426/sfe", "Link")</f>
        <v>Link</v>
      </c>
      <c r="D2667" t="s">
        <v>3768</v>
      </c>
      <c r="E2667" s="17">
        <v>0.75</v>
      </c>
      <c r="F2667" t="s">
        <v>3769</v>
      </c>
      <c r="G2667">
        <v>0.5</v>
      </c>
      <c r="H2667">
        <v>0.25</v>
      </c>
      <c r="Q2667" s="1"/>
      <c r="R2667" s="1"/>
    </row>
    <row r="2668" spans="1:18" ht="15.75" customHeight="1" x14ac:dyDescent="0.25">
      <c r="A2668" s="2">
        <v>9428427</v>
      </c>
      <c r="B2668">
        <v>9428427</v>
      </c>
      <c r="C2668" t="str">
        <f>HYPERLINK("https://ois.dk/map/9428427/sfe", "Link")</f>
        <v>Link</v>
      </c>
      <c r="D2668" t="s">
        <v>3770</v>
      </c>
      <c r="E2668" s="17">
        <v>4.5659999999999998</v>
      </c>
      <c r="F2668" t="s">
        <v>3771</v>
      </c>
      <c r="H2668">
        <v>0.25</v>
      </c>
      <c r="M2668">
        <v>4.2140000000000004</v>
      </c>
      <c r="N2668">
        <v>2E-3</v>
      </c>
      <c r="P2668">
        <v>0.1</v>
      </c>
      <c r="Q2668" s="1"/>
      <c r="R2668" s="1"/>
    </row>
    <row r="2669" spans="1:18" ht="15.75" customHeight="1" x14ac:dyDescent="0.25">
      <c r="A2669" s="2">
        <v>9428427</v>
      </c>
      <c r="B2669">
        <v>9428427</v>
      </c>
      <c r="C2669" t="str">
        <f>HYPERLINK("https://ois.dk/map/9428427/sfe", "Link")</f>
        <v>Link</v>
      </c>
      <c r="D2669" t="s">
        <v>3770</v>
      </c>
      <c r="E2669" s="17">
        <v>0.5</v>
      </c>
      <c r="F2669" t="s">
        <v>3772</v>
      </c>
      <c r="G2669">
        <v>0.5</v>
      </c>
      <c r="Q2669" s="1"/>
      <c r="R2669" s="1"/>
    </row>
    <row r="2670" spans="1:18" ht="15.75" customHeight="1" x14ac:dyDescent="0.25">
      <c r="A2670" s="2">
        <v>9428427</v>
      </c>
      <c r="B2670">
        <v>9428427</v>
      </c>
      <c r="C2670" t="str">
        <f>HYPERLINK("https://ois.dk/map/9428427/sfe", "Link")</f>
        <v>Link</v>
      </c>
      <c r="D2670" t="s">
        <v>3770</v>
      </c>
      <c r="E2670" s="17">
        <v>0.5</v>
      </c>
      <c r="F2670" t="s">
        <v>3773</v>
      </c>
      <c r="G2670">
        <v>0.5</v>
      </c>
      <c r="Q2670" s="1"/>
      <c r="R2670" s="1"/>
    </row>
    <row r="2671" spans="1:18" ht="15.75" customHeight="1" x14ac:dyDescent="0.25">
      <c r="A2671" s="2">
        <v>9428428</v>
      </c>
      <c r="B2671">
        <v>9428428</v>
      </c>
      <c r="C2671" t="str">
        <f>HYPERLINK("https://ois.dk/map/9428428/sfe", "Link")</f>
        <v>Link</v>
      </c>
      <c r="D2671" t="s">
        <v>3774</v>
      </c>
      <c r="E2671" s="17">
        <v>2.427</v>
      </c>
      <c r="F2671" t="s">
        <v>3775</v>
      </c>
      <c r="H2671">
        <v>0.25</v>
      </c>
      <c r="M2671">
        <v>1.9770000000000001</v>
      </c>
      <c r="P2671">
        <v>0.2</v>
      </c>
      <c r="Q2671" s="1"/>
      <c r="R2671" s="1"/>
    </row>
    <row r="2672" spans="1:18" ht="15.75" customHeight="1" x14ac:dyDescent="0.25">
      <c r="A2672" s="2">
        <v>9428428</v>
      </c>
      <c r="B2672">
        <v>9428428</v>
      </c>
      <c r="C2672" t="str">
        <f>HYPERLINK("https://ois.dk/map/9428428/sfe", "Link")</f>
        <v>Link</v>
      </c>
      <c r="D2672" t="s">
        <v>3774</v>
      </c>
      <c r="E2672" s="17">
        <v>0.5</v>
      </c>
      <c r="F2672" t="s">
        <v>3775</v>
      </c>
      <c r="G2672">
        <v>0.5</v>
      </c>
      <c r="Q2672" s="1"/>
      <c r="R2672" s="1"/>
    </row>
    <row r="2673" spans="1:18" ht="15.75" customHeight="1" x14ac:dyDescent="0.25">
      <c r="A2673" s="2">
        <v>9428428</v>
      </c>
      <c r="B2673">
        <v>9428428</v>
      </c>
      <c r="C2673" t="str">
        <f>HYPERLINK("https://ois.dk/map/9428428/sfe", "Link")</f>
        <v>Link</v>
      </c>
      <c r="D2673" t="s">
        <v>3774</v>
      </c>
      <c r="E2673" s="17">
        <v>0.5</v>
      </c>
      <c r="F2673" t="s">
        <v>3776</v>
      </c>
      <c r="G2673">
        <v>0.5</v>
      </c>
      <c r="Q2673" s="1"/>
      <c r="R2673" s="1"/>
    </row>
    <row r="2674" spans="1:18" ht="15.75" customHeight="1" x14ac:dyDescent="0.25">
      <c r="A2674" s="2">
        <v>9428429</v>
      </c>
      <c r="B2674">
        <v>9428429</v>
      </c>
      <c r="C2674" t="str">
        <f>HYPERLINK("https://ois.dk/map/9428429/sfe", "Link")</f>
        <v>Link</v>
      </c>
      <c r="D2674" t="s">
        <v>3777</v>
      </c>
      <c r="E2674" s="17">
        <v>2.0619999999999998</v>
      </c>
      <c r="F2674" t="s">
        <v>3778</v>
      </c>
      <c r="G2674">
        <v>0.5</v>
      </c>
      <c r="H2674">
        <v>0.25</v>
      </c>
      <c r="M2674">
        <v>1.212</v>
      </c>
      <c r="P2674">
        <v>0.1</v>
      </c>
      <c r="Q2674" s="1"/>
      <c r="R2674" s="1"/>
    </row>
    <row r="2675" spans="1:18" ht="15.75" customHeight="1" x14ac:dyDescent="0.25">
      <c r="A2675" s="2">
        <v>9428430</v>
      </c>
      <c r="B2675">
        <v>9428430</v>
      </c>
      <c r="C2675" t="str">
        <f>HYPERLINK("https://ois.dk/map/9428430/sfe", "Link")</f>
        <v>Link</v>
      </c>
      <c r="D2675" t="s">
        <v>3779</v>
      </c>
      <c r="E2675" s="17">
        <v>2.3839999999999999</v>
      </c>
      <c r="F2675" t="s">
        <v>3780</v>
      </c>
      <c r="G2675">
        <v>0.5</v>
      </c>
      <c r="H2675">
        <v>0.25</v>
      </c>
      <c r="M2675">
        <v>1.534</v>
      </c>
      <c r="P2675">
        <v>0.1</v>
      </c>
      <c r="Q2675" s="1"/>
      <c r="R2675" s="1"/>
    </row>
    <row r="2676" spans="1:18" ht="15.75" customHeight="1" x14ac:dyDescent="0.25">
      <c r="A2676" s="2">
        <v>9428431</v>
      </c>
      <c r="B2676">
        <v>9428431</v>
      </c>
      <c r="C2676" t="str">
        <f>HYPERLINK("https://ois.dk/map/9428431/sfe", "Link")</f>
        <v>Link</v>
      </c>
      <c r="D2676" t="s">
        <v>3781</v>
      </c>
      <c r="E2676" s="17">
        <v>2.3380000000000001</v>
      </c>
      <c r="F2676" t="s">
        <v>3782</v>
      </c>
      <c r="G2676">
        <v>0.5</v>
      </c>
      <c r="H2676">
        <v>0.25</v>
      </c>
      <c r="M2676">
        <v>1.488</v>
      </c>
      <c r="P2676">
        <v>0.1</v>
      </c>
      <c r="Q2676" s="1"/>
      <c r="R2676" s="1"/>
    </row>
    <row r="2677" spans="1:18" ht="15.75" customHeight="1" x14ac:dyDescent="0.25">
      <c r="A2677" s="2">
        <v>9428433</v>
      </c>
      <c r="B2677">
        <v>9428433</v>
      </c>
      <c r="C2677" t="str">
        <f>HYPERLINK("https://ois.dk/map/9428433/sfe", "Link")</f>
        <v>Link</v>
      </c>
      <c r="D2677" t="s">
        <v>3783</v>
      </c>
      <c r="E2677" s="17">
        <v>0.52700000000000002</v>
      </c>
      <c r="G2677">
        <v>0.5</v>
      </c>
      <c r="M2677">
        <v>2.7E-2</v>
      </c>
      <c r="Q2677" s="1"/>
      <c r="R2677" s="1"/>
    </row>
    <row r="2678" spans="1:18" ht="15.75" customHeight="1" x14ac:dyDescent="0.25">
      <c r="A2678" s="2">
        <v>9428434</v>
      </c>
      <c r="B2678">
        <v>9428434</v>
      </c>
      <c r="C2678" t="str">
        <f>HYPERLINK("https://ois.dk/map/9428434/sfe", "Link")</f>
        <v>Link</v>
      </c>
      <c r="D2678" t="s">
        <v>3784</v>
      </c>
      <c r="E2678" s="17">
        <v>0.77500000000000002</v>
      </c>
      <c r="F2678" t="s">
        <v>3785</v>
      </c>
      <c r="G2678">
        <v>0.5</v>
      </c>
      <c r="H2678">
        <v>0.25</v>
      </c>
      <c r="M2678">
        <v>2.5000000000000001E-2</v>
      </c>
      <c r="Q2678" s="1"/>
      <c r="R2678" s="1"/>
    </row>
    <row r="2679" spans="1:18" ht="15.75" customHeight="1" x14ac:dyDescent="0.25">
      <c r="A2679" s="2">
        <v>9428438</v>
      </c>
      <c r="B2679">
        <v>9428438</v>
      </c>
      <c r="C2679" t="str">
        <f>HYPERLINK("https://ois.dk/map/9428438/sfe", "Link")</f>
        <v>Link</v>
      </c>
      <c r="D2679" t="s">
        <v>3786</v>
      </c>
      <c r="E2679" s="17">
        <v>0.5</v>
      </c>
      <c r="F2679" t="s">
        <v>3787</v>
      </c>
      <c r="G2679">
        <v>0.5</v>
      </c>
      <c r="Q2679" s="1"/>
      <c r="R2679" s="1"/>
    </row>
    <row r="2680" spans="1:18" ht="15.75" customHeight="1" x14ac:dyDescent="0.25">
      <c r="A2680" s="2">
        <v>9428439</v>
      </c>
      <c r="B2680">
        <v>9428439</v>
      </c>
      <c r="C2680" t="str">
        <f>HYPERLINK("https://ois.dk/map/9428439/sfe", "Link")</f>
        <v>Link</v>
      </c>
      <c r="D2680" t="s">
        <v>3788</v>
      </c>
      <c r="E2680" s="17">
        <v>0.75</v>
      </c>
      <c r="F2680" t="s">
        <v>3789</v>
      </c>
      <c r="G2680">
        <v>0.5</v>
      </c>
      <c r="H2680">
        <v>0.25</v>
      </c>
      <c r="Q2680" s="1"/>
      <c r="R2680" s="1"/>
    </row>
    <row r="2681" spans="1:18" ht="15.75" customHeight="1" x14ac:dyDescent="0.25">
      <c r="A2681" s="2">
        <v>9428444</v>
      </c>
      <c r="B2681">
        <v>9428444</v>
      </c>
      <c r="C2681" t="str">
        <f>HYPERLINK("https://ois.dk/map/9428444/sfe", "Link")</f>
        <v>Link</v>
      </c>
      <c r="D2681" t="s">
        <v>3790</v>
      </c>
      <c r="E2681" s="17">
        <v>0.90400000000000003</v>
      </c>
      <c r="G2681">
        <v>0.5</v>
      </c>
      <c r="L2681">
        <v>0.40400000000000003</v>
      </c>
      <c r="Q2681" s="1"/>
      <c r="R2681" s="1"/>
    </row>
    <row r="2682" spans="1:18" ht="15.75" customHeight="1" x14ac:dyDescent="0.25">
      <c r="A2682" s="2">
        <v>9428445</v>
      </c>
      <c r="B2682">
        <v>9428445</v>
      </c>
      <c r="C2682" t="str">
        <f>HYPERLINK("https://ois.dk/map/9428445/sfe", "Link")</f>
        <v>Link</v>
      </c>
      <c r="D2682" t="s">
        <v>3791</v>
      </c>
      <c r="E2682" s="17">
        <v>1.48</v>
      </c>
      <c r="G2682">
        <v>0.5</v>
      </c>
      <c r="H2682">
        <v>0.25</v>
      </c>
      <c r="L2682">
        <v>0.73</v>
      </c>
      <c r="Q2682" s="1"/>
      <c r="R2682" s="1"/>
    </row>
    <row r="2683" spans="1:18" ht="15.75" customHeight="1" x14ac:dyDescent="0.25">
      <c r="A2683" s="2">
        <v>9428446</v>
      </c>
      <c r="B2683">
        <v>9428446</v>
      </c>
      <c r="C2683" t="str">
        <f>HYPERLINK("https://ois.dk/map/9428446/sfe", "Link")</f>
        <v>Link</v>
      </c>
      <c r="D2683" t="s">
        <v>3792</v>
      </c>
      <c r="E2683" s="17">
        <v>0.83599999999999997</v>
      </c>
      <c r="G2683">
        <v>0.5</v>
      </c>
      <c r="H2683">
        <v>0.25</v>
      </c>
      <c r="L2683">
        <v>8.5999999999999993E-2</v>
      </c>
      <c r="Q2683" s="1"/>
      <c r="R2683" s="1"/>
    </row>
    <row r="2684" spans="1:18" ht="15.75" customHeight="1" x14ac:dyDescent="0.25">
      <c r="A2684" s="2">
        <v>9428447</v>
      </c>
      <c r="B2684">
        <v>9428447</v>
      </c>
      <c r="C2684" t="str">
        <f>HYPERLINK("https://ois.dk/map/9428447/sfe", "Link")</f>
        <v>Link</v>
      </c>
      <c r="D2684" t="s">
        <v>3793</v>
      </c>
      <c r="E2684" s="17">
        <v>0.83599999999999997</v>
      </c>
      <c r="G2684">
        <v>0.5</v>
      </c>
      <c r="H2684">
        <v>0.25</v>
      </c>
      <c r="L2684">
        <v>8.5999999999999993E-2</v>
      </c>
      <c r="Q2684" s="1"/>
      <c r="R2684" s="1"/>
    </row>
    <row r="2685" spans="1:18" ht="15.75" customHeight="1" x14ac:dyDescent="0.25">
      <c r="A2685" s="2">
        <v>9428448</v>
      </c>
      <c r="B2685">
        <v>9428448</v>
      </c>
      <c r="C2685" t="str">
        <f>HYPERLINK("https://ois.dk/map/9428448/sfe", "Link")</f>
        <v>Link</v>
      </c>
      <c r="D2685" t="s">
        <v>3794</v>
      </c>
      <c r="E2685" s="17">
        <v>0.98499999999999999</v>
      </c>
      <c r="G2685">
        <v>0.5</v>
      </c>
      <c r="H2685">
        <v>0.25</v>
      </c>
      <c r="L2685">
        <v>0.23499999999999999</v>
      </c>
      <c r="Q2685" s="1"/>
      <c r="R2685" s="1"/>
    </row>
    <row r="2686" spans="1:18" ht="15.75" customHeight="1" x14ac:dyDescent="0.25">
      <c r="A2686" s="2">
        <v>9428449</v>
      </c>
      <c r="B2686">
        <v>9428449</v>
      </c>
      <c r="C2686" t="str">
        <f>HYPERLINK("https://ois.dk/map/9428449/sfe", "Link")</f>
        <v>Link</v>
      </c>
      <c r="D2686" t="s">
        <v>3795</v>
      </c>
      <c r="E2686" s="17">
        <v>2E-3</v>
      </c>
      <c r="L2686">
        <v>2E-3</v>
      </c>
      <c r="Q2686" s="1"/>
      <c r="R2686" s="1"/>
    </row>
    <row r="2687" spans="1:18" ht="15.75" customHeight="1" x14ac:dyDescent="0.25">
      <c r="A2687" s="2">
        <v>9428450</v>
      </c>
      <c r="B2687">
        <v>9428450</v>
      </c>
      <c r="C2687" t="str">
        <f>HYPERLINK("https://ois.dk/map/9428450/sfe", "Link")</f>
        <v>Link</v>
      </c>
      <c r="D2687" t="s">
        <v>3796</v>
      </c>
      <c r="E2687" s="17">
        <v>0.504</v>
      </c>
      <c r="G2687">
        <v>0.5</v>
      </c>
      <c r="L2687">
        <v>4.0000000000000001E-3</v>
      </c>
      <c r="Q2687" s="1"/>
      <c r="R2687" s="1"/>
    </row>
    <row r="2688" spans="1:18" ht="15.75" customHeight="1" x14ac:dyDescent="0.25">
      <c r="A2688" s="2">
        <v>9428451</v>
      </c>
      <c r="B2688">
        <v>9428451</v>
      </c>
      <c r="C2688" t="str">
        <f>HYPERLINK("https://ois.dk/map/9428451/sfe", "Link")</f>
        <v>Link</v>
      </c>
      <c r="D2688" t="s">
        <v>3797</v>
      </c>
      <c r="E2688" s="17">
        <v>1.054</v>
      </c>
      <c r="G2688">
        <v>0.5</v>
      </c>
      <c r="H2688">
        <v>0.25</v>
      </c>
      <c r="L2688">
        <v>0.30399999999999999</v>
      </c>
      <c r="Q2688" s="1"/>
      <c r="R2688" s="1"/>
    </row>
    <row r="2689" spans="1:18" ht="15.75" customHeight="1" x14ac:dyDescent="0.25">
      <c r="A2689" s="2">
        <v>9533954</v>
      </c>
      <c r="B2689">
        <v>9533954</v>
      </c>
      <c r="C2689" t="str">
        <f>HYPERLINK("https://ois.dk/map/9533954/sfe", "Link")</f>
        <v>Link</v>
      </c>
      <c r="D2689" t="s">
        <v>3798</v>
      </c>
      <c r="E2689" s="17">
        <v>0.5</v>
      </c>
      <c r="F2689" t="s">
        <v>3799</v>
      </c>
      <c r="G2689">
        <v>0.5</v>
      </c>
      <c r="Q2689" s="1"/>
      <c r="R2689" s="1"/>
    </row>
    <row r="2690" spans="1:18" ht="15.75" customHeight="1" x14ac:dyDescent="0.25">
      <c r="A2690" s="2">
        <v>9554958</v>
      </c>
      <c r="B2690">
        <v>9554958</v>
      </c>
      <c r="C2690" t="str">
        <f>HYPERLINK("https://ois.dk/map/9554958/sfe", "Link")</f>
        <v>Link</v>
      </c>
      <c r="D2690" t="s">
        <v>3800</v>
      </c>
      <c r="E2690" s="17">
        <v>1.75</v>
      </c>
      <c r="F2690" t="s">
        <v>3801</v>
      </c>
      <c r="G2690">
        <v>0.5</v>
      </c>
      <c r="H2690">
        <v>0.25</v>
      </c>
      <c r="I2690">
        <v>1</v>
      </c>
      <c r="Q2690" s="1"/>
      <c r="R2690" s="1">
        <v>1.61</v>
      </c>
    </row>
    <row r="2691" spans="1:18" ht="15.75" customHeight="1" x14ac:dyDescent="0.25">
      <c r="A2691" s="2">
        <v>9554959</v>
      </c>
      <c r="B2691">
        <v>9554959</v>
      </c>
      <c r="C2691" t="str">
        <f>HYPERLINK("https://ois.dk/map/9554959/sfe", "Link")</f>
        <v>Link</v>
      </c>
      <c r="D2691" t="s">
        <v>3802</v>
      </c>
      <c r="E2691" s="17">
        <v>0.75</v>
      </c>
      <c r="F2691" t="s">
        <v>3803</v>
      </c>
      <c r="G2691">
        <v>0.5</v>
      </c>
      <c r="H2691">
        <v>0.25</v>
      </c>
      <c r="Q2691" s="1"/>
      <c r="R2691" s="1"/>
    </row>
    <row r="2692" spans="1:18" ht="15.75" customHeight="1" x14ac:dyDescent="0.25">
      <c r="A2692" s="2">
        <v>9554960</v>
      </c>
      <c r="B2692">
        <v>9554960</v>
      </c>
      <c r="C2692" t="str">
        <f>HYPERLINK("https://ois.dk/map/9554960/sfe", "Link")</f>
        <v>Link</v>
      </c>
      <c r="D2692" t="s">
        <v>3804</v>
      </c>
      <c r="E2692" s="17">
        <v>0.75</v>
      </c>
      <c r="F2692" t="s">
        <v>3805</v>
      </c>
      <c r="G2692">
        <v>0.5</v>
      </c>
      <c r="H2692">
        <v>0.25</v>
      </c>
      <c r="Q2692" s="1"/>
      <c r="R2692" s="1"/>
    </row>
    <row r="2693" spans="1:18" ht="15.75" customHeight="1" x14ac:dyDescent="0.25">
      <c r="A2693" s="2">
        <v>9554962</v>
      </c>
      <c r="B2693">
        <v>9554962</v>
      </c>
      <c r="C2693" t="str">
        <f>HYPERLINK("https://ois.dk/map/9554962/sfe", "Link")</f>
        <v>Link</v>
      </c>
      <c r="D2693" t="s">
        <v>3806</v>
      </c>
      <c r="E2693" s="17">
        <v>0.75</v>
      </c>
      <c r="F2693" t="s">
        <v>3807</v>
      </c>
      <c r="G2693">
        <v>0.5</v>
      </c>
      <c r="H2693">
        <v>0.25</v>
      </c>
      <c r="Q2693" s="1"/>
      <c r="R2693" s="1"/>
    </row>
    <row r="2694" spans="1:18" ht="15.75" customHeight="1" x14ac:dyDescent="0.25">
      <c r="A2694" s="2">
        <v>9554963</v>
      </c>
      <c r="B2694">
        <v>9554963</v>
      </c>
      <c r="C2694" t="str">
        <f>HYPERLINK("https://ois.dk/map/9554963/sfe", "Link")</f>
        <v>Link</v>
      </c>
      <c r="D2694" t="s">
        <v>3808</v>
      </c>
      <c r="E2694" s="17">
        <v>0.75</v>
      </c>
      <c r="F2694" t="s">
        <v>3809</v>
      </c>
      <c r="G2694">
        <v>0.5</v>
      </c>
      <c r="H2694">
        <v>0.25</v>
      </c>
      <c r="Q2694" s="1"/>
      <c r="R2694" s="1"/>
    </row>
    <row r="2695" spans="1:18" ht="15.75" customHeight="1" x14ac:dyDescent="0.25">
      <c r="A2695" s="2">
        <v>9554964</v>
      </c>
      <c r="B2695">
        <v>9554964</v>
      </c>
      <c r="C2695" t="str">
        <f>HYPERLINK("https://ois.dk/map/9554964/sfe", "Link")</f>
        <v>Link</v>
      </c>
      <c r="D2695" t="s">
        <v>3810</v>
      </c>
      <c r="E2695" s="17">
        <v>0.5</v>
      </c>
      <c r="F2695" t="s">
        <v>3811</v>
      </c>
      <c r="G2695">
        <v>0.5</v>
      </c>
      <c r="Q2695" s="1"/>
      <c r="R2695" s="1"/>
    </row>
    <row r="2696" spans="1:18" ht="15.75" customHeight="1" x14ac:dyDescent="0.25">
      <c r="A2696" s="2">
        <v>9554965</v>
      </c>
      <c r="B2696">
        <v>9554965</v>
      </c>
      <c r="C2696" t="str">
        <f>HYPERLINK("https://ois.dk/map/9554965/sfe", "Link")</f>
        <v>Link</v>
      </c>
      <c r="D2696" t="s">
        <v>3812</v>
      </c>
      <c r="E2696" s="17">
        <v>0.5</v>
      </c>
      <c r="F2696" t="s">
        <v>3813</v>
      </c>
      <c r="G2696">
        <v>0.5</v>
      </c>
      <c r="Q2696" s="1"/>
      <c r="R2696" s="1"/>
    </row>
    <row r="2697" spans="1:18" ht="15.75" customHeight="1" x14ac:dyDescent="0.25">
      <c r="A2697" s="2">
        <v>9554966</v>
      </c>
      <c r="B2697">
        <v>9554966</v>
      </c>
      <c r="C2697" t="str">
        <f>HYPERLINK("https://ois.dk/map/9554966/sfe", "Link")</f>
        <v>Link</v>
      </c>
      <c r="D2697" t="s">
        <v>3814</v>
      </c>
      <c r="E2697" s="17">
        <v>0.5</v>
      </c>
      <c r="F2697" t="s">
        <v>3815</v>
      </c>
      <c r="G2697">
        <v>0.5</v>
      </c>
      <c r="Q2697" s="1"/>
      <c r="R2697" s="1"/>
    </row>
    <row r="2698" spans="1:18" ht="15.75" customHeight="1" x14ac:dyDescent="0.25">
      <c r="A2698" s="2">
        <v>9567696</v>
      </c>
      <c r="B2698">
        <v>287635</v>
      </c>
      <c r="C2698" t="str">
        <f>HYPERLINK("https://ois.dk/map/287635/sfe", "Link")</f>
        <v>Link</v>
      </c>
      <c r="D2698" t="s">
        <v>3816</v>
      </c>
      <c r="E2698" s="17">
        <v>1.5</v>
      </c>
      <c r="F2698" t="s">
        <v>3817</v>
      </c>
      <c r="G2698">
        <v>0.5</v>
      </c>
      <c r="I2698">
        <v>1</v>
      </c>
      <c r="Q2698" s="1"/>
      <c r="R2698" s="1">
        <v>0.65</v>
      </c>
    </row>
    <row r="2699" spans="1:18" ht="15.75" customHeight="1" x14ac:dyDescent="0.25">
      <c r="A2699" s="2">
        <v>9567696</v>
      </c>
      <c r="B2699">
        <v>287636</v>
      </c>
      <c r="C2699" t="str">
        <f>HYPERLINK("https://ois.dk/map/287636/sfe", "Link")</f>
        <v>Link</v>
      </c>
      <c r="D2699" t="s">
        <v>3816</v>
      </c>
      <c r="E2699" s="17">
        <v>1.5</v>
      </c>
      <c r="F2699" t="s">
        <v>3818</v>
      </c>
      <c r="G2699">
        <v>0.5</v>
      </c>
      <c r="I2699">
        <v>1</v>
      </c>
      <c r="Q2699" s="1"/>
      <c r="R2699" s="1">
        <v>0.65</v>
      </c>
    </row>
    <row r="2700" spans="1:18" ht="15.75" customHeight="1" x14ac:dyDescent="0.25">
      <c r="A2700" s="2">
        <v>9567696</v>
      </c>
      <c r="B2700">
        <v>287637</v>
      </c>
      <c r="C2700" t="str">
        <f>HYPERLINK("https://ois.dk/map/287637/sfe", "Link")</f>
        <v>Link</v>
      </c>
      <c r="D2700" t="s">
        <v>3816</v>
      </c>
      <c r="E2700" s="17">
        <v>1.5</v>
      </c>
      <c r="F2700" t="s">
        <v>3819</v>
      </c>
      <c r="G2700">
        <v>0.5</v>
      </c>
      <c r="I2700">
        <v>1</v>
      </c>
      <c r="Q2700" s="1"/>
      <c r="R2700" s="1">
        <v>0.65</v>
      </c>
    </row>
    <row r="2701" spans="1:18" ht="15.75" customHeight="1" x14ac:dyDescent="0.25">
      <c r="A2701" s="2">
        <v>9567696</v>
      </c>
      <c r="B2701">
        <v>287638</v>
      </c>
      <c r="C2701" t="str">
        <f t="shared" ref="C2701:C2708" si="68">HYPERLINK("https://ois.dk/map/287638/sfe", "Link")</f>
        <v>Link</v>
      </c>
      <c r="D2701" t="s">
        <v>3816</v>
      </c>
      <c r="E2701" s="17">
        <v>1.5</v>
      </c>
      <c r="F2701" t="s">
        <v>3820</v>
      </c>
      <c r="G2701">
        <v>0.5</v>
      </c>
      <c r="I2701">
        <v>1</v>
      </c>
      <c r="Q2701" s="1"/>
      <c r="R2701" s="1">
        <v>0.65</v>
      </c>
    </row>
    <row r="2702" spans="1:18" ht="15.75" customHeight="1" x14ac:dyDescent="0.25">
      <c r="A2702" s="2">
        <v>9567696</v>
      </c>
      <c r="B2702">
        <v>287638</v>
      </c>
      <c r="C2702" t="str">
        <f t="shared" si="68"/>
        <v>Link</v>
      </c>
      <c r="D2702" t="s">
        <v>3816</v>
      </c>
      <c r="E2702" s="17">
        <v>1.5</v>
      </c>
      <c r="F2702" t="s">
        <v>3821</v>
      </c>
      <c r="G2702">
        <v>0.5</v>
      </c>
      <c r="I2702">
        <v>1</v>
      </c>
      <c r="Q2702" s="1"/>
      <c r="R2702" s="1">
        <v>0.61</v>
      </c>
    </row>
    <row r="2703" spans="1:18" ht="15.75" customHeight="1" x14ac:dyDescent="0.25">
      <c r="A2703" s="2">
        <v>9567696</v>
      </c>
      <c r="B2703">
        <v>287638</v>
      </c>
      <c r="C2703" t="str">
        <f t="shared" si="68"/>
        <v>Link</v>
      </c>
      <c r="D2703" t="s">
        <v>3816</v>
      </c>
      <c r="E2703" s="17">
        <v>1.5</v>
      </c>
      <c r="F2703" t="s">
        <v>3822</v>
      </c>
      <c r="G2703">
        <v>0.5</v>
      </c>
      <c r="I2703">
        <v>1</v>
      </c>
      <c r="Q2703" s="1"/>
      <c r="R2703" s="1">
        <v>0.61</v>
      </c>
    </row>
    <row r="2704" spans="1:18" ht="15.75" customHeight="1" x14ac:dyDescent="0.25">
      <c r="A2704" s="2">
        <v>9567696</v>
      </c>
      <c r="B2704">
        <v>287638</v>
      </c>
      <c r="C2704" t="str">
        <f t="shared" si="68"/>
        <v>Link</v>
      </c>
      <c r="D2704" t="s">
        <v>3816</v>
      </c>
      <c r="E2704" s="17">
        <v>1.5</v>
      </c>
      <c r="F2704" t="s">
        <v>3823</v>
      </c>
      <c r="G2704">
        <v>0.5</v>
      </c>
      <c r="I2704">
        <v>1</v>
      </c>
      <c r="Q2704" s="1"/>
      <c r="R2704" s="1">
        <v>0.61</v>
      </c>
    </row>
    <row r="2705" spans="1:18" ht="15.75" customHeight="1" x14ac:dyDescent="0.25">
      <c r="A2705" s="2">
        <v>9567696</v>
      </c>
      <c r="B2705">
        <v>287638</v>
      </c>
      <c r="C2705" t="str">
        <f t="shared" si="68"/>
        <v>Link</v>
      </c>
      <c r="D2705" t="s">
        <v>3816</v>
      </c>
      <c r="E2705" s="17">
        <v>1.5</v>
      </c>
      <c r="F2705" t="s">
        <v>3824</v>
      </c>
      <c r="G2705">
        <v>0.5</v>
      </c>
      <c r="I2705">
        <v>1</v>
      </c>
      <c r="Q2705" s="1"/>
      <c r="R2705" s="1">
        <v>0.56999999999999995</v>
      </c>
    </row>
    <row r="2706" spans="1:18" ht="15.75" customHeight="1" x14ac:dyDescent="0.25">
      <c r="A2706" s="2">
        <v>9567696</v>
      </c>
      <c r="B2706">
        <v>287638</v>
      </c>
      <c r="C2706" t="str">
        <f t="shared" si="68"/>
        <v>Link</v>
      </c>
      <c r="D2706" t="s">
        <v>3816</v>
      </c>
      <c r="E2706" s="17">
        <v>1.5</v>
      </c>
      <c r="F2706" t="s">
        <v>3825</v>
      </c>
      <c r="G2706">
        <v>0.5</v>
      </c>
      <c r="I2706">
        <v>1</v>
      </c>
      <c r="Q2706" s="1"/>
      <c r="R2706" s="1">
        <v>0.56999999999999995</v>
      </c>
    </row>
    <row r="2707" spans="1:18" ht="15.75" customHeight="1" x14ac:dyDescent="0.25">
      <c r="A2707" s="2">
        <v>9567696</v>
      </c>
      <c r="B2707">
        <v>287638</v>
      </c>
      <c r="C2707" t="str">
        <f t="shared" si="68"/>
        <v>Link</v>
      </c>
      <c r="D2707" t="s">
        <v>3816</v>
      </c>
      <c r="E2707" s="17">
        <v>1.5</v>
      </c>
      <c r="F2707" t="s">
        <v>3826</v>
      </c>
      <c r="G2707">
        <v>0.5</v>
      </c>
      <c r="I2707">
        <v>1</v>
      </c>
      <c r="Q2707" s="1"/>
      <c r="R2707" s="1">
        <v>0.56999999999999995</v>
      </c>
    </row>
    <row r="2708" spans="1:18" ht="15.75" customHeight="1" x14ac:dyDescent="0.25">
      <c r="A2708" s="2">
        <v>9567696</v>
      </c>
      <c r="B2708">
        <v>287638</v>
      </c>
      <c r="C2708" t="str">
        <f t="shared" si="68"/>
        <v>Link</v>
      </c>
      <c r="D2708" t="s">
        <v>3816</v>
      </c>
      <c r="E2708" s="17">
        <v>1.5</v>
      </c>
      <c r="F2708" t="s">
        <v>3827</v>
      </c>
      <c r="G2708">
        <v>0.5</v>
      </c>
      <c r="I2708">
        <v>1</v>
      </c>
      <c r="Q2708" s="1"/>
      <c r="R2708" s="1">
        <v>0.56999999999999995</v>
      </c>
    </row>
    <row r="2709" spans="1:18" ht="15.75" customHeight="1" x14ac:dyDescent="0.25">
      <c r="A2709" s="2">
        <v>9567696</v>
      </c>
      <c r="B2709">
        <v>9567696</v>
      </c>
      <c r="C2709" t="str">
        <f>HYPERLINK("https://ois.dk/map/9567696/sfe", "Link")</f>
        <v>Link</v>
      </c>
      <c r="D2709" t="s">
        <v>3816</v>
      </c>
      <c r="E2709" s="17">
        <v>0.25</v>
      </c>
      <c r="F2709" t="s">
        <v>3817</v>
      </c>
      <c r="H2709">
        <v>0.25</v>
      </c>
      <c r="Q2709" s="1"/>
      <c r="R2709" s="1">
        <v>0.56999999999999995</v>
      </c>
    </row>
    <row r="2710" spans="1:18" ht="15.75" customHeight="1" x14ac:dyDescent="0.25">
      <c r="A2710" s="2">
        <v>9567697</v>
      </c>
      <c r="B2710">
        <v>9567697</v>
      </c>
      <c r="C2710" t="str">
        <f t="shared" ref="C2710:C2718" si="69">HYPERLINK("https://ois.dk/map/9567697/sfe", "Link")</f>
        <v>Link</v>
      </c>
      <c r="D2710" t="s">
        <v>3828</v>
      </c>
      <c r="E2710" s="17">
        <v>0.25</v>
      </c>
      <c r="F2710" t="s">
        <v>3829</v>
      </c>
      <c r="H2710">
        <v>0.25</v>
      </c>
      <c r="Q2710" s="1"/>
      <c r="R2710" s="1">
        <v>0.76</v>
      </c>
    </row>
    <row r="2711" spans="1:18" ht="15.75" customHeight="1" x14ac:dyDescent="0.25">
      <c r="A2711" s="2">
        <v>9567697</v>
      </c>
      <c r="B2711">
        <v>9567697</v>
      </c>
      <c r="C2711" t="str">
        <f t="shared" si="69"/>
        <v>Link</v>
      </c>
      <c r="D2711" t="s">
        <v>3828</v>
      </c>
      <c r="E2711" s="17">
        <v>1.5</v>
      </c>
      <c r="F2711" t="s">
        <v>3829</v>
      </c>
      <c r="G2711">
        <v>0.5</v>
      </c>
      <c r="I2711">
        <v>1</v>
      </c>
      <c r="Q2711" s="1"/>
      <c r="R2711" s="1">
        <v>0.76</v>
      </c>
    </row>
    <row r="2712" spans="1:18" ht="15.75" customHeight="1" x14ac:dyDescent="0.25">
      <c r="A2712" s="2">
        <v>9567697</v>
      </c>
      <c r="B2712">
        <v>9567697</v>
      </c>
      <c r="C2712" t="str">
        <f t="shared" si="69"/>
        <v>Link</v>
      </c>
      <c r="D2712" t="s">
        <v>3828</v>
      </c>
      <c r="E2712" s="17">
        <v>1.5</v>
      </c>
      <c r="F2712" t="s">
        <v>3830</v>
      </c>
      <c r="G2712">
        <v>0.5</v>
      </c>
      <c r="I2712">
        <v>1</v>
      </c>
      <c r="Q2712" s="1"/>
      <c r="R2712" s="1">
        <v>0.76</v>
      </c>
    </row>
    <row r="2713" spans="1:18" ht="15.75" customHeight="1" x14ac:dyDescent="0.25">
      <c r="A2713" s="2">
        <v>9567697</v>
      </c>
      <c r="B2713">
        <v>9567697</v>
      </c>
      <c r="C2713" t="str">
        <f t="shared" si="69"/>
        <v>Link</v>
      </c>
      <c r="D2713" t="s">
        <v>3828</v>
      </c>
      <c r="E2713" s="17">
        <v>1.5</v>
      </c>
      <c r="F2713" t="s">
        <v>3831</v>
      </c>
      <c r="G2713">
        <v>0.5</v>
      </c>
      <c r="I2713">
        <v>1</v>
      </c>
      <c r="Q2713" s="1"/>
      <c r="R2713" s="1">
        <v>0.76</v>
      </c>
    </row>
    <row r="2714" spans="1:18" ht="15.75" customHeight="1" x14ac:dyDescent="0.25">
      <c r="A2714" s="2">
        <v>9567697</v>
      </c>
      <c r="B2714">
        <v>9567697</v>
      </c>
      <c r="C2714" t="str">
        <f t="shared" si="69"/>
        <v>Link</v>
      </c>
      <c r="D2714" t="s">
        <v>3828</v>
      </c>
      <c r="E2714" s="17">
        <v>1.5</v>
      </c>
      <c r="F2714" t="s">
        <v>3832</v>
      </c>
      <c r="G2714">
        <v>0.5</v>
      </c>
      <c r="I2714">
        <v>1</v>
      </c>
      <c r="Q2714" s="1"/>
      <c r="R2714" s="1">
        <v>0.76</v>
      </c>
    </row>
    <row r="2715" spans="1:18" ht="15.75" customHeight="1" x14ac:dyDescent="0.25">
      <c r="A2715" s="2">
        <v>9567697</v>
      </c>
      <c r="B2715">
        <v>9567697</v>
      </c>
      <c r="C2715" t="str">
        <f t="shared" si="69"/>
        <v>Link</v>
      </c>
      <c r="D2715" t="s">
        <v>3828</v>
      </c>
      <c r="E2715" s="17">
        <v>1.5</v>
      </c>
      <c r="F2715" t="s">
        <v>3833</v>
      </c>
      <c r="G2715">
        <v>0.5</v>
      </c>
      <c r="I2715">
        <v>1</v>
      </c>
      <c r="Q2715" s="1"/>
      <c r="R2715" s="1">
        <v>0.76</v>
      </c>
    </row>
    <row r="2716" spans="1:18" ht="15.75" customHeight="1" x14ac:dyDescent="0.25">
      <c r="A2716" s="2">
        <v>9567697</v>
      </c>
      <c r="B2716">
        <v>9567697</v>
      </c>
      <c r="C2716" t="str">
        <f t="shared" si="69"/>
        <v>Link</v>
      </c>
      <c r="D2716" t="s">
        <v>3828</v>
      </c>
      <c r="E2716" s="17">
        <v>1.5</v>
      </c>
      <c r="F2716" t="s">
        <v>3834</v>
      </c>
      <c r="G2716">
        <v>0.5</v>
      </c>
      <c r="I2716">
        <v>1</v>
      </c>
      <c r="Q2716" s="1"/>
      <c r="R2716" s="1">
        <v>0.76</v>
      </c>
    </row>
    <row r="2717" spans="1:18" ht="15.75" customHeight="1" x14ac:dyDescent="0.25">
      <c r="A2717" s="2">
        <v>9567697</v>
      </c>
      <c r="B2717">
        <v>9567697</v>
      </c>
      <c r="C2717" t="str">
        <f t="shared" si="69"/>
        <v>Link</v>
      </c>
      <c r="D2717" t="s">
        <v>3828</v>
      </c>
      <c r="E2717" s="17">
        <v>1.5</v>
      </c>
      <c r="F2717" t="s">
        <v>3835</v>
      </c>
      <c r="G2717">
        <v>0.5</v>
      </c>
      <c r="I2717">
        <v>1</v>
      </c>
      <c r="Q2717" s="1"/>
      <c r="R2717" s="1">
        <v>0.76</v>
      </c>
    </row>
    <row r="2718" spans="1:18" ht="15.75" customHeight="1" x14ac:dyDescent="0.25">
      <c r="A2718" s="2">
        <v>9567697</v>
      </c>
      <c r="B2718">
        <v>9567697</v>
      </c>
      <c r="C2718" t="str">
        <f t="shared" si="69"/>
        <v>Link</v>
      </c>
      <c r="D2718" t="s">
        <v>3828</v>
      </c>
      <c r="E2718" s="17">
        <v>1.5</v>
      </c>
      <c r="F2718" t="s">
        <v>3836</v>
      </c>
      <c r="G2718">
        <v>0.5</v>
      </c>
      <c r="I2718">
        <v>1</v>
      </c>
      <c r="Q2718" s="1"/>
      <c r="R2718" s="1">
        <v>0.76</v>
      </c>
    </row>
    <row r="2719" spans="1:18" ht="15.75" customHeight="1" x14ac:dyDescent="0.25">
      <c r="A2719" s="2">
        <v>9567698</v>
      </c>
      <c r="B2719">
        <v>9567698</v>
      </c>
      <c r="C2719" t="str">
        <f t="shared" ref="C2719:C2750" si="70">HYPERLINK("https://ois.dk/map/9567698/sfe", "Link")</f>
        <v>Link</v>
      </c>
      <c r="D2719" t="s">
        <v>3837</v>
      </c>
      <c r="E2719" s="17">
        <v>0.25</v>
      </c>
      <c r="F2719" t="s">
        <v>3838</v>
      </c>
      <c r="H2719">
        <v>0.25</v>
      </c>
      <c r="Q2719" s="1"/>
      <c r="R2719" s="1">
        <v>0.51</v>
      </c>
    </row>
    <row r="2720" spans="1:18" ht="15.75" customHeight="1" x14ac:dyDescent="0.25">
      <c r="A2720" s="2">
        <v>9567698</v>
      </c>
      <c r="B2720">
        <v>9567698</v>
      </c>
      <c r="C2720" t="str">
        <f t="shared" si="70"/>
        <v>Link</v>
      </c>
      <c r="D2720" t="s">
        <v>3837</v>
      </c>
      <c r="E2720" s="17">
        <v>1.5</v>
      </c>
      <c r="F2720" t="s">
        <v>3839</v>
      </c>
      <c r="G2720">
        <v>0.5</v>
      </c>
      <c r="I2720">
        <v>1</v>
      </c>
      <c r="Q2720" s="1"/>
      <c r="R2720" s="1">
        <v>0.56000000000000005</v>
      </c>
    </row>
    <row r="2721" spans="1:18" ht="15.75" customHeight="1" x14ac:dyDescent="0.25">
      <c r="A2721" s="2">
        <v>9567698</v>
      </c>
      <c r="B2721">
        <v>9567698</v>
      </c>
      <c r="C2721" t="str">
        <f t="shared" si="70"/>
        <v>Link</v>
      </c>
      <c r="D2721" t="s">
        <v>3837</v>
      </c>
      <c r="E2721" s="17">
        <v>1.5</v>
      </c>
      <c r="F2721" t="s">
        <v>3840</v>
      </c>
      <c r="G2721">
        <v>0.5</v>
      </c>
      <c r="I2721">
        <v>1</v>
      </c>
      <c r="Q2721" s="1"/>
      <c r="R2721" s="1">
        <v>0.56000000000000005</v>
      </c>
    </row>
    <row r="2722" spans="1:18" ht="15.75" customHeight="1" x14ac:dyDescent="0.25">
      <c r="A2722" s="2">
        <v>9567698</v>
      </c>
      <c r="B2722">
        <v>9567698</v>
      </c>
      <c r="C2722" t="str">
        <f t="shared" si="70"/>
        <v>Link</v>
      </c>
      <c r="D2722" t="s">
        <v>3837</v>
      </c>
      <c r="E2722" s="17">
        <v>1.5</v>
      </c>
      <c r="F2722" t="s">
        <v>3841</v>
      </c>
      <c r="G2722">
        <v>0.5</v>
      </c>
      <c r="I2722">
        <v>1</v>
      </c>
      <c r="Q2722" s="1"/>
      <c r="R2722" s="1">
        <v>0.56000000000000005</v>
      </c>
    </row>
    <row r="2723" spans="1:18" ht="15.75" customHeight="1" x14ac:dyDescent="0.25">
      <c r="A2723" s="2">
        <v>9567698</v>
      </c>
      <c r="B2723">
        <v>9567698</v>
      </c>
      <c r="C2723" t="str">
        <f t="shared" si="70"/>
        <v>Link</v>
      </c>
      <c r="D2723" t="s">
        <v>3837</v>
      </c>
      <c r="E2723" s="17">
        <v>1.5</v>
      </c>
      <c r="F2723" t="s">
        <v>3842</v>
      </c>
      <c r="G2723">
        <v>0.5</v>
      </c>
      <c r="I2723">
        <v>1</v>
      </c>
      <c r="Q2723" s="1"/>
      <c r="R2723" s="1">
        <v>0.56000000000000005</v>
      </c>
    </row>
    <row r="2724" spans="1:18" ht="15.75" customHeight="1" x14ac:dyDescent="0.25">
      <c r="A2724" s="2">
        <v>9567698</v>
      </c>
      <c r="B2724">
        <v>9567698</v>
      </c>
      <c r="C2724" t="str">
        <f t="shared" si="70"/>
        <v>Link</v>
      </c>
      <c r="D2724" t="s">
        <v>3837</v>
      </c>
      <c r="E2724" s="17">
        <v>1.5</v>
      </c>
      <c r="F2724" t="s">
        <v>3843</v>
      </c>
      <c r="G2724">
        <v>0.5</v>
      </c>
      <c r="I2724">
        <v>1</v>
      </c>
      <c r="Q2724" s="1"/>
      <c r="R2724" s="1">
        <v>0.56000000000000005</v>
      </c>
    </row>
    <row r="2725" spans="1:18" ht="15.75" customHeight="1" x14ac:dyDescent="0.25">
      <c r="A2725" s="2">
        <v>9567698</v>
      </c>
      <c r="B2725">
        <v>9567698</v>
      </c>
      <c r="C2725" t="str">
        <f t="shared" si="70"/>
        <v>Link</v>
      </c>
      <c r="D2725" t="s">
        <v>3837</v>
      </c>
      <c r="E2725" s="17">
        <v>1.5</v>
      </c>
      <c r="F2725" t="s">
        <v>3838</v>
      </c>
      <c r="G2725">
        <v>0.5</v>
      </c>
      <c r="I2725">
        <v>1</v>
      </c>
      <c r="Q2725" s="1"/>
      <c r="R2725" s="1">
        <v>0.51</v>
      </c>
    </row>
    <row r="2726" spans="1:18" ht="15.75" customHeight="1" x14ac:dyDescent="0.25">
      <c r="A2726" s="2">
        <v>9567698</v>
      </c>
      <c r="B2726">
        <v>9567698</v>
      </c>
      <c r="C2726" t="str">
        <f t="shared" si="70"/>
        <v>Link</v>
      </c>
      <c r="D2726" t="s">
        <v>3837</v>
      </c>
      <c r="E2726" s="17">
        <v>1.5</v>
      </c>
      <c r="F2726" t="s">
        <v>3844</v>
      </c>
      <c r="G2726">
        <v>0.5</v>
      </c>
      <c r="I2726">
        <v>1</v>
      </c>
      <c r="Q2726" s="1"/>
      <c r="R2726" s="1">
        <v>0.51</v>
      </c>
    </row>
    <row r="2727" spans="1:18" ht="15.75" customHeight="1" x14ac:dyDescent="0.25">
      <c r="A2727" s="2">
        <v>9567698</v>
      </c>
      <c r="B2727">
        <v>9567698</v>
      </c>
      <c r="C2727" t="str">
        <f t="shared" si="70"/>
        <v>Link</v>
      </c>
      <c r="D2727" t="s">
        <v>3837</v>
      </c>
      <c r="E2727" s="17">
        <v>1.5</v>
      </c>
      <c r="F2727" t="s">
        <v>3845</v>
      </c>
      <c r="G2727">
        <v>0.5</v>
      </c>
      <c r="I2727">
        <v>1</v>
      </c>
      <c r="Q2727" s="1"/>
      <c r="R2727" s="1">
        <v>0.51</v>
      </c>
    </row>
    <row r="2728" spans="1:18" ht="15.75" customHeight="1" x14ac:dyDescent="0.25">
      <c r="A2728" s="2">
        <v>9567698</v>
      </c>
      <c r="B2728">
        <v>9567698</v>
      </c>
      <c r="C2728" t="str">
        <f t="shared" si="70"/>
        <v>Link</v>
      </c>
      <c r="D2728" t="s">
        <v>3837</v>
      </c>
      <c r="E2728" s="17">
        <v>1.5</v>
      </c>
      <c r="F2728" t="s">
        <v>3846</v>
      </c>
      <c r="G2728">
        <v>0.5</v>
      </c>
      <c r="I2728">
        <v>1</v>
      </c>
      <c r="Q2728" s="1"/>
      <c r="R2728" s="1">
        <v>0.51</v>
      </c>
    </row>
    <row r="2729" spans="1:18" ht="15.75" customHeight="1" x14ac:dyDescent="0.25">
      <c r="A2729" s="2">
        <v>9567698</v>
      </c>
      <c r="B2729">
        <v>9567698</v>
      </c>
      <c r="C2729" t="str">
        <f t="shared" si="70"/>
        <v>Link</v>
      </c>
      <c r="D2729" t="s">
        <v>3837</v>
      </c>
      <c r="E2729" s="17">
        <v>1.5</v>
      </c>
      <c r="F2729" t="s">
        <v>3847</v>
      </c>
      <c r="G2729">
        <v>0.5</v>
      </c>
      <c r="I2729">
        <v>1</v>
      </c>
      <c r="Q2729" s="1"/>
      <c r="R2729" s="1">
        <v>0.51</v>
      </c>
    </row>
    <row r="2730" spans="1:18" ht="15.75" customHeight="1" x14ac:dyDescent="0.25">
      <c r="A2730" s="2">
        <v>9567698</v>
      </c>
      <c r="B2730">
        <v>9567698</v>
      </c>
      <c r="C2730" t="str">
        <f t="shared" si="70"/>
        <v>Link</v>
      </c>
      <c r="D2730" t="s">
        <v>3837</v>
      </c>
      <c r="E2730" s="17">
        <v>1.5</v>
      </c>
      <c r="F2730" t="s">
        <v>3848</v>
      </c>
      <c r="G2730">
        <v>0.5</v>
      </c>
      <c r="I2730">
        <v>1</v>
      </c>
      <c r="Q2730" s="1"/>
      <c r="R2730" s="1">
        <v>0.54</v>
      </c>
    </row>
    <row r="2731" spans="1:18" ht="15.75" customHeight="1" x14ac:dyDescent="0.25">
      <c r="A2731" s="2">
        <v>9567698</v>
      </c>
      <c r="B2731">
        <v>9567698</v>
      </c>
      <c r="C2731" t="str">
        <f t="shared" si="70"/>
        <v>Link</v>
      </c>
      <c r="D2731" t="s">
        <v>3837</v>
      </c>
      <c r="E2731" s="17">
        <v>1.5</v>
      </c>
      <c r="F2731" t="s">
        <v>3849</v>
      </c>
      <c r="G2731">
        <v>0.5</v>
      </c>
      <c r="I2731">
        <v>1</v>
      </c>
      <c r="Q2731" s="1"/>
      <c r="R2731" s="1">
        <v>0.54</v>
      </c>
    </row>
    <row r="2732" spans="1:18" ht="15.75" customHeight="1" x14ac:dyDescent="0.25">
      <c r="A2732" s="2">
        <v>9567698</v>
      </c>
      <c r="B2732">
        <v>9567698</v>
      </c>
      <c r="C2732" t="str">
        <f t="shared" si="70"/>
        <v>Link</v>
      </c>
      <c r="D2732" t="s">
        <v>3837</v>
      </c>
      <c r="E2732" s="17">
        <v>1.5</v>
      </c>
      <c r="F2732" t="s">
        <v>3850</v>
      </c>
      <c r="G2732">
        <v>0.5</v>
      </c>
      <c r="I2732">
        <v>1</v>
      </c>
      <c r="Q2732" s="1"/>
      <c r="R2732" s="1">
        <v>0.54</v>
      </c>
    </row>
    <row r="2733" spans="1:18" ht="15.75" customHeight="1" x14ac:dyDescent="0.25">
      <c r="A2733" s="2">
        <v>9567698</v>
      </c>
      <c r="B2733">
        <v>9567698</v>
      </c>
      <c r="C2733" t="str">
        <f t="shared" si="70"/>
        <v>Link</v>
      </c>
      <c r="D2733" t="s">
        <v>3837</v>
      </c>
      <c r="E2733" s="17">
        <v>1.5</v>
      </c>
      <c r="F2733" t="s">
        <v>3851</v>
      </c>
      <c r="G2733">
        <v>0.5</v>
      </c>
      <c r="I2733">
        <v>1</v>
      </c>
      <c r="Q2733" s="1"/>
      <c r="R2733" s="1">
        <v>0.54</v>
      </c>
    </row>
    <row r="2734" spans="1:18" ht="15.75" customHeight="1" x14ac:dyDescent="0.25">
      <c r="A2734" s="2">
        <v>9567698</v>
      </c>
      <c r="B2734">
        <v>9567698</v>
      </c>
      <c r="C2734" t="str">
        <f t="shared" si="70"/>
        <v>Link</v>
      </c>
      <c r="D2734" t="s">
        <v>3837</v>
      </c>
      <c r="E2734" s="17">
        <v>1.5</v>
      </c>
      <c r="F2734" t="s">
        <v>3852</v>
      </c>
      <c r="G2734">
        <v>0.5</v>
      </c>
      <c r="I2734">
        <v>1</v>
      </c>
      <c r="Q2734" s="1"/>
      <c r="R2734" s="1">
        <v>0.54</v>
      </c>
    </row>
    <row r="2735" spans="1:18" ht="15.75" customHeight="1" x14ac:dyDescent="0.25">
      <c r="A2735" s="2">
        <v>9567698</v>
      </c>
      <c r="B2735">
        <v>9567698</v>
      </c>
      <c r="C2735" t="str">
        <f t="shared" si="70"/>
        <v>Link</v>
      </c>
      <c r="D2735" t="s">
        <v>3837</v>
      </c>
      <c r="E2735" s="17">
        <v>1.5</v>
      </c>
      <c r="F2735" t="s">
        <v>3853</v>
      </c>
      <c r="G2735">
        <v>0.5</v>
      </c>
      <c r="I2735">
        <v>1</v>
      </c>
      <c r="Q2735" s="1"/>
      <c r="R2735" s="1">
        <v>0.54</v>
      </c>
    </row>
    <row r="2736" spans="1:18" ht="15.75" customHeight="1" x14ac:dyDescent="0.25">
      <c r="A2736" s="2">
        <v>9567698</v>
      </c>
      <c r="B2736">
        <v>9567698</v>
      </c>
      <c r="C2736" t="str">
        <f t="shared" si="70"/>
        <v>Link</v>
      </c>
      <c r="D2736" t="s">
        <v>3837</v>
      </c>
      <c r="E2736" s="17">
        <v>1.5</v>
      </c>
      <c r="F2736" t="s">
        <v>3854</v>
      </c>
      <c r="G2736">
        <v>0.5</v>
      </c>
      <c r="I2736">
        <v>1</v>
      </c>
      <c r="Q2736" s="1"/>
      <c r="R2736" s="1">
        <v>0.54</v>
      </c>
    </row>
    <row r="2737" spans="1:18" ht="15.75" customHeight="1" x14ac:dyDescent="0.25">
      <c r="A2737" s="2">
        <v>9567698</v>
      </c>
      <c r="B2737">
        <v>9567698</v>
      </c>
      <c r="C2737" t="str">
        <f t="shared" si="70"/>
        <v>Link</v>
      </c>
      <c r="D2737" t="s">
        <v>3837</v>
      </c>
      <c r="E2737" s="17">
        <v>1.5</v>
      </c>
      <c r="F2737" t="s">
        <v>3855</v>
      </c>
      <c r="G2737">
        <v>0.5</v>
      </c>
      <c r="I2737">
        <v>1</v>
      </c>
      <c r="Q2737" s="1"/>
      <c r="R2737" s="1">
        <v>0.54</v>
      </c>
    </row>
    <row r="2738" spans="1:18" ht="15.75" customHeight="1" x14ac:dyDescent="0.25">
      <c r="A2738" s="2">
        <v>9567698</v>
      </c>
      <c r="B2738">
        <v>9567698</v>
      </c>
      <c r="C2738" t="str">
        <f t="shared" si="70"/>
        <v>Link</v>
      </c>
      <c r="D2738" t="s">
        <v>3837</v>
      </c>
      <c r="E2738" s="17">
        <v>1.5</v>
      </c>
      <c r="F2738" t="s">
        <v>3856</v>
      </c>
      <c r="G2738">
        <v>0.5</v>
      </c>
      <c r="I2738">
        <v>1</v>
      </c>
      <c r="Q2738" s="1"/>
      <c r="R2738" s="1">
        <v>0.51</v>
      </c>
    </row>
    <row r="2739" spans="1:18" ht="15.75" customHeight="1" x14ac:dyDescent="0.25">
      <c r="A2739" s="2">
        <v>9567698</v>
      </c>
      <c r="B2739">
        <v>9567698</v>
      </c>
      <c r="C2739" t="str">
        <f t="shared" si="70"/>
        <v>Link</v>
      </c>
      <c r="D2739" t="s">
        <v>3837</v>
      </c>
      <c r="E2739" s="17">
        <v>1.5</v>
      </c>
      <c r="F2739" t="s">
        <v>3857</v>
      </c>
      <c r="G2739">
        <v>0.5</v>
      </c>
      <c r="I2739">
        <v>1</v>
      </c>
      <c r="Q2739" s="1"/>
      <c r="R2739" s="1">
        <v>0.51</v>
      </c>
    </row>
    <row r="2740" spans="1:18" ht="15.75" customHeight="1" x14ac:dyDescent="0.25">
      <c r="A2740" s="2">
        <v>9567698</v>
      </c>
      <c r="B2740">
        <v>9567698</v>
      </c>
      <c r="C2740" t="str">
        <f t="shared" si="70"/>
        <v>Link</v>
      </c>
      <c r="D2740" t="s">
        <v>3837</v>
      </c>
      <c r="E2740" s="17">
        <v>1.5</v>
      </c>
      <c r="F2740" t="s">
        <v>3858</v>
      </c>
      <c r="G2740">
        <v>0.5</v>
      </c>
      <c r="I2740">
        <v>1</v>
      </c>
      <c r="Q2740" s="1"/>
      <c r="R2740" s="1">
        <v>0.51</v>
      </c>
    </row>
    <row r="2741" spans="1:18" ht="15.75" customHeight="1" x14ac:dyDescent="0.25">
      <c r="A2741" s="2">
        <v>9567698</v>
      </c>
      <c r="B2741">
        <v>9567698</v>
      </c>
      <c r="C2741" t="str">
        <f t="shared" si="70"/>
        <v>Link</v>
      </c>
      <c r="D2741" t="s">
        <v>3837</v>
      </c>
      <c r="E2741" s="17">
        <v>1.5</v>
      </c>
      <c r="F2741" t="s">
        <v>3859</v>
      </c>
      <c r="G2741">
        <v>0.5</v>
      </c>
      <c r="I2741">
        <v>1</v>
      </c>
      <c r="Q2741" s="1"/>
      <c r="R2741" s="1">
        <v>0.51</v>
      </c>
    </row>
    <row r="2742" spans="1:18" ht="15.75" customHeight="1" x14ac:dyDescent="0.25">
      <c r="A2742" s="2">
        <v>9567698</v>
      </c>
      <c r="B2742">
        <v>9567698</v>
      </c>
      <c r="C2742" t="str">
        <f t="shared" si="70"/>
        <v>Link</v>
      </c>
      <c r="D2742" t="s">
        <v>3837</v>
      </c>
      <c r="E2742" s="17">
        <v>1.5</v>
      </c>
      <c r="F2742" t="s">
        <v>3860</v>
      </c>
      <c r="G2742">
        <v>0.5</v>
      </c>
      <c r="I2742">
        <v>1</v>
      </c>
      <c r="Q2742" s="1"/>
      <c r="R2742" s="1">
        <v>0.51</v>
      </c>
    </row>
    <row r="2743" spans="1:18" ht="15.75" customHeight="1" x14ac:dyDescent="0.25">
      <c r="A2743" s="2">
        <v>9567698</v>
      </c>
      <c r="B2743">
        <v>9567698</v>
      </c>
      <c r="C2743" t="str">
        <f t="shared" si="70"/>
        <v>Link</v>
      </c>
      <c r="D2743" t="s">
        <v>3837</v>
      </c>
      <c r="E2743" s="17">
        <v>1.5</v>
      </c>
      <c r="F2743" t="s">
        <v>3861</v>
      </c>
      <c r="G2743">
        <v>0.5</v>
      </c>
      <c r="I2743">
        <v>1</v>
      </c>
      <c r="Q2743" s="1"/>
      <c r="R2743" s="1">
        <v>0.51</v>
      </c>
    </row>
    <row r="2744" spans="1:18" ht="15.75" customHeight="1" x14ac:dyDescent="0.25">
      <c r="A2744" s="2">
        <v>9567698</v>
      </c>
      <c r="B2744">
        <v>9567698</v>
      </c>
      <c r="C2744" t="str">
        <f t="shared" si="70"/>
        <v>Link</v>
      </c>
      <c r="D2744" t="s">
        <v>3837</v>
      </c>
      <c r="E2744" s="17">
        <v>1.5</v>
      </c>
      <c r="F2744" t="s">
        <v>3862</v>
      </c>
      <c r="G2744">
        <v>0.5</v>
      </c>
      <c r="I2744">
        <v>1</v>
      </c>
      <c r="Q2744" s="1"/>
      <c r="R2744" s="1">
        <v>0.51</v>
      </c>
    </row>
    <row r="2745" spans="1:18" ht="15.75" customHeight="1" x14ac:dyDescent="0.25">
      <c r="A2745" s="2">
        <v>9567698</v>
      </c>
      <c r="B2745">
        <v>9567698</v>
      </c>
      <c r="C2745" t="str">
        <f t="shared" si="70"/>
        <v>Link</v>
      </c>
      <c r="D2745" t="s">
        <v>3837</v>
      </c>
      <c r="E2745" s="17">
        <v>1.5</v>
      </c>
      <c r="F2745" t="s">
        <v>3863</v>
      </c>
      <c r="G2745">
        <v>0.5</v>
      </c>
      <c r="I2745">
        <v>1</v>
      </c>
      <c r="Q2745" s="1"/>
      <c r="R2745" s="1">
        <v>0.54</v>
      </c>
    </row>
    <row r="2746" spans="1:18" ht="15.75" customHeight="1" x14ac:dyDescent="0.25">
      <c r="A2746" s="2">
        <v>9567698</v>
      </c>
      <c r="B2746">
        <v>9567698</v>
      </c>
      <c r="C2746" t="str">
        <f t="shared" si="70"/>
        <v>Link</v>
      </c>
      <c r="D2746" t="s">
        <v>3837</v>
      </c>
      <c r="E2746" s="17">
        <v>1.5</v>
      </c>
      <c r="F2746" t="s">
        <v>3864</v>
      </c>
      <c r="G2746">
        <v>0.5</v>
      </c>
      <c r="I2746">
        <v>1</v>
      </c>
      <c r="Q2746" s="1"/>
      <c r="R2746" s="1">
        <v>0.54</v>
      </c>
    </row>
    <row r="2747" spans="1:18" ht="15.75" customHeight="1" x14ac:dyDescent="0.25">
      <c r="A2747" s="2">
        <v>9567698</v>
      </c>
      <c r="B2747">
        <v>9567698</v>
      </c>
      <c r="C2747" t="str">
        <f t="shared" si="70"/>
        <v>Link</v>
      </c>
      <c r="D2747" t="s">
        <v>3837</v>
      </c>
      <c r="E2747" s="17">
        <v>1.5</v>
      </c>
      <c r="F2747" t="s">
        <v>3865</v>
      </c>
      <c r="G2747">
        <v>0.5</v>
      </c>
      <c r="I2747">
        <v>1</v>
      </c>
      <c r="Q2747" s="1"/>
      <c r="R2747" s="1">
        <v>0.54</v>
      </c>
    </row>
    <row r="2748" spans="1:18" ht="15.75" customHeight="1" x14ac:dyDescent="0.25">
      <c r="A2748" s="2">
        <v>9567698</v>
      </c>
      <c r="B2748">
        <v>9567698</v>
      </c>
      <c r="C2748" t="str">
        <f t="shared" si="70"/>
        <v>Link</v>
      </c>
      <c r="D2748" t="s">
        <v>3837</v>
      </c>
      <c r="E2748" s="17">
        <v>1.5</v>
      </c>
      <c r="F2748" t="s">
        <v>3866</v>
      </c>
      <c r="G2748">
        <v>0.5</v>
      </c>
      <c r="I2748">
        <v>1</v>
      </c>
      <c r="Q2748" s="1"/>
      <c r="R2748" s="1">
        <v>0.54</v>
      </c>
    </row>
    <row r="2749" spans="1:18" ht="15.75" customHeight="1" x14ac:dyDescent="0.25">
      <c r="A2749" s="2">
        <v>9567698</v>
      </c>
      <c r="B2749">
        <v>9567698</v>
      </c>
      <c r="C2749" t="str">
        <f t="shared" si="70"/>
        <v>Link</v>
      </c>
      <c r="D2749" t="s">
        <v>3837</v>
      </c>
      <c r="E2749" s="17">
        <v>1.5</v>
      </c>
      <c r="F2749" t="s">
        <v>3867</v>
      </c>
      <c r="G2749">
        <v>0.5</v>
      </c>
      <c r="I2749">
        <v>1</v>
      </c>
      <c r="Q2749" s="1"/>
      <c r="R2749" s="1">
        <v>0.54</v>
      </c>
    </row>
    <row r="2750" spans="1:18" ht="15.75" customHeight="1" x14ac:dyDescent="0.25">
      <c r="A2750" s="2">
        <v>9567698</v>
      </c>
      <c r="B2750">
        <v>9567698</v>
      </c>
      <c r="C2750" t="str">
        <f t="shared" si="70"/>
        <v>Link</v>
      </c>
      <c r="D2750" t="s">
        <v>3837</v>
      </c>
      <c r="E2750" s="17">
        <v>1.5</v>
      </c>
      <c r="F2750" t="s">
        <v>3868</v>
      </c>
      <c r="G2750">
        <v>0.5</v>
      </c>
      <c r="I2750">
        <v>1</v>
      </c>
      <c r="Q2750" s="1"/>
      <c r="R2750" s="1">
        <v>0.54</v>
      </c>
    </row>
    <row r="2751" spans="1:18" ht="15.75" customHeight="1" x14ac:dyDescent="0.25">
      <c r="A2751" s="2">
        <v>9567699</v>
      </c>
      <c r="B2751">
        <v>9567699</v>
      </c>
      <c r="C2751" t="str">
        <f>HYPERLINK("https://ois.dk/map/9567699/sfe", "Link")</f>
        <v>Link</v>
      </c>
      <c r="D2751" t="s">
        <v>3869</v>
      </c>
      <c r="E2751" s="17">
        <v>0.75</v>
      </c>
      <c r="G2751">
        <v>0.5</v>
      </c>
      <c r="H2751">
        <v>0.25</v>
      </c>
      <c r="Q2751" s="1"/>
      <c r="R2751" s="1"/>
    </row>
    <row r="2752" spans="1:18" ht="15.75" customHeight="1" x14ac:dyDescent="0.25">
      <c r="A2752" s="2">
        <v>9599937</v>
      </c>
      <c r="B2752">
        <v>9599937</v>
      </c>
      <c r="C2752" t="str">
        <f>HYPERLINK("https://ois.dk/map/9599937/sfe", "Link")</f>
        <v>Link</v>
      </c>
      <c r="D2752" t="s">
        <v>3870</v>
      </c>
      <c r="E2752" s="17">
        <v>1.825</v>
      </c>
      <c r="F2752" t="s">
        <v>3871</v>
      </c>
      <c r="G2752">
        <v>0.5</v>
      </c>
      <c r="M2752">
        <v>1.325</v>
      </c>
      <c r="Q2752" s="1"/>
      <c r="R2752" s="1"/>
    </row>
    <row r="2753" spans="1:18" ht="15.75" customHeight="1" x14ac:dyDescent="0.25">
      <c r="A2753" s="2">
        <v>9620968</v>
      </c>
      <c r="B2753">
        <v>9620968</v>
      </c>
      <c r="C2753" t="str">
        <f>HYPERLINK("https://ois.dk/map/9620968/sfe", "Link")</f>
        <v>Link</v>
      </c>
      <c r="D2753" t="s">
        <v>3872</v>
      </c>
      <c r="E2753" s="17">
        <v>1.75</v>
      </c>
      <c r="F2753" t="s">
        <v>3873</v>
      </c>
      <c r="G2753">
        <v>0.5</v>
      </c>
      <c r="H2753">
        <v>0.25</v>
      </c>
      <c r="I2753">
        <v>1</v>
      </c>
      <c r="Q2753" s="1"/>
      <c r="R2753" s="1">
        <v>1.82</v>
      </c>
    </row>
    <row r="2754" spans="1:18" ht="15.75" customHeight="1" x14ac:dyDescent="0.25">
      <c r="A2754" s="2">
        <v>9690112</v>
      </c>
      <c r="B2754">
        <v>9690112</v>
      </c>
      <c r="C2754" t="str">
        <f>HYPERLINK("https://ois.dk/map/9690112/sfe", "Link")</f>
        <v>Link</v>
      </c>
      <c r="D2754" t="s">
        <v>3874</v>
      </c>
      <c r="E2754" s="17">
        <v>0.5</v>
      </c>
      <c r="F2754" t="s">
        <v>3875</v>
      </c>
      <c r="G2754">
        <v>0.5</v>
      </c>
      <c r="Q2754" s="1"/>
      <c r="R2754" s="1"/>
    </row>
    <row r="2755" spans="1:18" ht="15.75" customHeight="1" x14ac:dyDescent="0.25">
      <c r="A2755" s="2">
        <v>9745441</v>
      </c>
      <c r="B2755">
        <v>9745441</v>
      </c>
      <c r="C2755" t="str">
        <f>HYPERLINK("https://ois.dk/map/9745441/sfe", "Link")</f>
        <v>Link</v>
      </c>
      <c r="D2755" t="s">
        <v>3876</v>
      </c>
      <c r="E2755" s="17">
        <v>1.75</v>
      </c>
      <c r="F2755" t="s">
        <v>3877</v>
      </c>
      <c r="G2755">
        <v>0.5</v>
      </c>
      <c r="H2755">
        <v>0.25</v>
      </c>
      <c r="I2755">
        <v>1</v>
      </c>
      <c r="Q2755" s="1"/>
      <c r="R2755" s="1">
        <v>1.1399999999999999</v>
      </c>
    </row>
    <row r="2756" spans="1:18" ht="15.75" customHeight="1" x14ac:dyDescent="0.25">
      <c r="A2756" s="2">
        <v>9761689</v>
      </c>
      <c r="B2756">
        <v>9761689</v>
      </c>
      <c r="C2756" t="str">
        <f>HYPERLINK("https://ois.dk/map/9761689/sfe", "Link")</f>
        <v>Link</v>
      </c>
      <c r="D2756" t="s">
        <v>3878</v>
      </c>
      <c r="E2756" s="17">
        <v>0.5</v>
      </c>
      <c r="F2756" t="s">
        <v>3879</v>
      </c>
      <c r="G2756">
        <v>0.5</v>
      </c>
      <c r="Q2756" s="1"/>
      <c r="R2756" s="1"/>
    </row>
    <row r="2757" spans="1:18" ht="15.75" customHeight="1" x14ac:dyDescent="0.25">
      <c r="A2757" s="2">
        <v>9762261</v>
      </c>
      <c r="B2757">
        <v>9762261</v>
      </c>
      <c r="C2757" t="str">
        <f>HYPERLINK("https://ois.dk/map/9762261/sfe", "Link")</f>
        <v>Link</v>
      </c>
      <c r="D2757" t="s">
        <v>3880</v>
      </c>
      <c r="E2757" s="17">
        <v>0.75</v>
      </c>
      <c r="F2757" t="s">
        <v>3881</v>
      </c>
      <c r="G2757">
        <v>0.5</v>
      </c>
      <c r="H2757">
        <v>0.25</v>
      </c>
      <c r="Q2757" s="1"/>
      <c r="R2757" s="1"/>
    </row>
    <row r="2758" spans="1:18" ht="15.75" customHeight="1" x14ac:dyDescent="0.25">
      <c r="A2758" s="2">
        <v>9762262</v>
      </c>
      <c r="B2758">
        <v>9762262</v>
      </c>
      <c r="C2758" t="str">
        <f>HYPERLINK("https://ois.dk/map/9762262/sfe", "Link")</f>
        <v>Link</v>
      </c>
      <c r="D2758" t="s">
        <v>3882</v>
      </c>
      <c r="E2758" s="17">
        <v>0.75</v>
      </c>
      <c r="F2758" t="s">
        <v>3883</v>
      </c>
      <c r="G2758">
        <v>0.5</v>
      </c>
      <c r="H2758">
        <v>0.25</v>
      </c>
      <c r="Q2758" s="1"/>
      <c r="R2758" s="1"/>
    </row>
    <row r="2759" spans="1:18" ht="15.75" customHeight="1" x14ac:dyDescent="0.25">
      <c r="A2759" s="2">
        <v>9762263</v>
      </c>
      <c r="B2759">
        <v>9762263</v>
      </c>
      <c r="C2759" t="str">
        <f>HYPERLINK("https://ois.dk/map/9762263/sfe", "Link")</f>
        <v>Link</v>
      </c>
      <c r="D2759" t="s">
        <v>3884</v>
      </c>
      <c r="E2759" s="17">
        <v>0.75</v>
      </c>
      <c r="F2759" t="s">
        <v>3885</v>
      </c>
      <c r="G2759">
        <v>0.5</v>
      </c>
      <c r="H2759">
        <v>0.25</v>
      </c>
      <c r="Q2759" s="1"/>
      <c r="R2759" s="1"/>
    </row>
    <row r="2760" spans="1:18" ht="15.75" customHeight="1" x14ac:dyDescent="0.25">
      <c r="A2760" s="2">
        <v>9762264</v>
      </c>
      <c r="B2760">
        <v>9762264</v>
      </c>
      <c r="C2760" t="str">
        <f>HYPERLINK("https://ois.dk/map/9762264/sfe", "Link")</f>
        <v>Link</v>
      </c>
      <c r="D2760" t="s">
        <v>3886</v>
      </c>
      <c r="E2760" s="17">
        <v>1.75</v>
      </c>
      <c r="F2760" t="s">
        <v>3887</v>
      </c>
      <c r="G2760">
        <v>0.5</v>
      </c>
      <c r="H2760">
        <v>0.25</v>
      </c>
      <c r="I2760">
        <v>1</v>
      </c>
      <c r="Q2760" s="1"/>
      <c r="R2760" s="1">
        <v>1.98</v>
      </c>
    </row>
    <row r="2761" spans="1:18" ht="15.75" customHeight="1" x14ac:dyDescent="0.25">
      <c r="A2761" s="2">
        <v>9762265</v>
      </c>
      <c r="B2761">
        <v>9762265</v>
      </c>
      <c r="C2761" t="str">
        <f>HYPERLINK("https://ois.dk/map/9762265/sfe", "Link")</f>
        <v>Link</v>
      </c>
      <c r="D2761" t="s">
        <v>3888</v>
      </c>
      <c r="E2761" s="17">
        <v>1.75</v>
      </c>
      <c r="F2761" t="s">
        <v>3889</v>
      </c>
      <c r="G2761">
        <v>0.5</v>
      </c>
      <c r="H2761">
        <v>0.25</v>
      </c>
      <c r="I2761">
        <v>1</v>
      </c>
      <c r="Q2761" s="1"/>
      <c r="R2761" s="1">
        <v>1.96</v>
      </c>
    </row>
    <row r="2762" spans="1:18" ht="15.75" customHeight="1" x14ac:dyDescent="0.25">
      <c r="A2762" s="2">
        <v>9762266</v>
      </c>
      <c r="B2762">
        <v>9762266</v>
      </c>
      <c r="C2762" t="str">
        <f>HYPERLINK("https://ois.dk/map/9762266/sfe", "Link")</f>
        <v>Link</v>
      </c>
      <c r="D2762" t="s">
        <v>3890</v>
      </c>
      <c r="E2762" s="17">
        <v>1.75</v>
      </c>
      <c r="F2762" t="s">
        <v>3891</v>
      </c>
      <c r="G2762">
        <v>0.5</v>
      </c>
      <c r="H2762">
        <v>0.25</v>
      </c>
      <c r="I2762">
        <v>1</v>
      </c>
      <c r="Q2762" s="1"/>
      <c r="R2762" s="1">
        <v>1.9</v>
      </c>
    </row>
    <row r="2763" spans="1:18" ht="15.75" customHeight="1" x14ac:dyDescent="0.25">
      <c r="A2763" s="2">
        <v>9762267</v>
      </c>
      <c r="B2763">
        <v>9762267</v>
      </c>
      <c r="C2763" t="str">
        <f>HYPERLINK("https://ois.dk/map/9762267/sfe", "Link")</f>
        <v>Link</v>
      </c>
      <c r="D2763" t="s">
        <v>3892</v>
      </c>
      <c r="E2763" s="17">
        <v>0.75</v>
      </c>
      <c r="F2763" t="s">
        <v>3893</v>
      </c>
      <c r="G2763">
        <v>0.5</v>
      </c>
      <c r="H2763">
        <v>0.25</v>
      </c>
      <c r="Q2763" s="1"/>
      <c r="R2763" s="1"/>
    </row>
    <row r="2764" spans="1:18" ht="15.75" customHeight="1" x14ac:dyDescent="0.25">
      <c r="A2764" s="2">
        <v>9762268</v>
      </c>
      <c r="B2764">
        <v>9762268</v>
      </c>
      <c r="C2764" t="str">
        <f>HYPERLINK("https://ois.dk/map/9762268/sfe", "Link")</f>
        <v>Link</v>
      </c>
      <c r="D2764" t="s">
        <v>3894</v>
      </c>
      <c r="E2764" s="17">
        <v>0.75</v>
      </c>
      <c r="F2764" t="s">
        <v>3895</v>
      </c>
      <c r="G2764">
        <v>0.5</v>
      </c>
      <c r="H2764">
        <v>0.25</v>
      </c>
      <c r="Q2764" s="1"/>
      <c r="R2764" s="1"/>
    </row>
    <row r="2765" spans="1:18" ht="15.75" customHeight="1" x14ac:dyDescent="0.25">
      <c r="A2765" s="2">
        <v>9762269</v>
      </c>
      <c r="B2765">
        <v>9762269</v>
      </c>
      <c r="C2765" t="str">
        <f>HYPERLINK("https://ois.dk/map/9762269/sfe", "Link")</f>
        <v>Link</v>
      </c>
      <c r="D2765" t="s">
        <v>3896</v>
      </c>
      <c r="E2765" s="17">
        <v>0.75</v>
      </c>
      <c r="F2765" t="s">
        <v>3897</v>
      </c>
      <c r="G2765">
        <v>0.5</v>
      </c>
      <c r="H2765">
        <v>0.25</v>
      </c>
      <c r="Q2765" s="1"/>
      <c r="R2765" s="1"/>
    </row>
    <row r="2766" spans="1:18" ht="15.75" customHeight="1" x14ac:dyDescent="0.25">
      <c r="A2766" s="2">
        <v>9762270</v>
      </c>
      <c r="B2766">
        <v>9762270</v>
      </c>
      <c r="C2766" t="str">
        <f>HYPERLINK("https://ois.dk/map/9762270/sfe", "Link")</f>
        <v>Link</v>
      </c>
      <c r="D2766" t="s">
        <v>3898</v>
      </c>
      <c r="E2766" s="17">
        <v>0.5</v>
      </c>
      <c r="F2766" t="s">
        <v>3899</v>
      </c>
      <c r="G2766">
        <v>0.5</v>
      </c>
      <c r="Q2766" s="1"/>
      <c r="R2766" s="1"/>
    </row>
    <row r="2767" spans="1:18" ht="15.75" customHeight="1" x14ac:dyDescent="0.25">
      <c r="A2767" s="2">
        <v>9762271</v>
      </c>
      <c r="B2767">
        <v>9762271</v>
      </c>
      <c r="C2767" t="str">
        <f>HYPERLINK("https://ois.dk/map/9762271/sfe", "Link")</f>
        <v>Link</v>
      </c>
      <c r="D2767" t="s">
        <v>3900</v>
      </c>
      <c r="E2767" s="17">
        <v>0.5</v>
      </c>
      <c r="F2767" t="s">
        <v>3901</v>
      </c>
      <c r="G2767">
        <v>0.5</v>
      </c>
      <c r="Q2767" s="1"/>
      <c r="R2767" s="1"/>
    </row>
    <row r="2768" spans="1:18" ht="15.75" customHeight="1" x14ac:dyDescent="0.25">
      <c r="A2768" s="2">
        <v>9762272</v>
      </c>
      <c r="B2768">
        <v>9762272</v>
      </c>
      <c r="C2768" t="str">
        <f>HYPERLINK("https://ois.dk/map/9762272/sfe", "Link")</f>
        <v>Link</v>
      </c>
      <c r="D2768" t="s">
        <v>3902</v>
      </c>
      <c r="E2768" s="17">
        <v>1.75</v>
      </c>
      <c r="F2768" t="s">
        <v>3903</v>
      </c>
      <c r="G2768">
        <v>0.5</v>
      </c>
      <c r="H2768">
        <v>0.25</v>
      </c>
      <c r="I2768">
        <v>1</v>
      </c>
      <c r="Q2768" s="1"/>
      <c r="R2768" s="1">
        <v>2.16</v>
      </c>
    </row>
    <row r="2769" spans="1:19" ht="15.75" customHeight="1" x14ac:dyDescent="0.25">
      <c r="A2769" s="2">
        <v>9762273</v>
      </c>
      <c r="B2769">
        <v>9762273</v>
      </c>
      <c r="C2769" t="str">
        <f>HYPERLINK("https://ois.dk/map/9762273/sfe", "Link")</f>
        <v>Link</v>
      </c>
      <c r="D2769" t="s">
        <v>3904</v>
      </c>
      <c r="E2769" s="17">
        <v>1.75</v>
      </c>
      <c r="F2769" t="s">
        <v>3905</v>
      </c>
      <c r="G2769">
        <v>0.5</v>
      </c>
      <c r="H2769">
        <v>0.25</v>
      </c>
      <c r="I2769">
        <v>1</v>
      </c>
      <c r="Q2769" s="1"/>
      <c r="R2769" s="1">
        <v>1.9</v>
      </c>
    </row>
    <row r="2770" spans="1:19" ht="15.75" customHeight="1" x14ac:dyDescent="0.25">
      <c r="A2770" s="2">
        <v>9762274</v>
      </c>
      <c r="B2770">
        <v>9762274</v>
      </c>
      <c r="C2770" t="str">
        <f>HYPERLINK("https://ois.dk/map/9762274/sfe", "Link")</f>
        <v>Link</v>
      </c>
      <c r="D2770" t="s">
        <v>3906</v>
      </c>
      <c r="E2770" s="17">
        <v>1.75</v>
      </c>
      <c r="F2770" t="s">
        <v>3907</v>
      </c>
      <c r="G2770">
        <v>0.5</v>
      </c>
      <c r="H2770">
        <v>0.25</v>
      </c>
      <c r="I2770">
        <v>1</v>
      </c>
      <c r="Q2770" s="1"/>
      <c r="R2770" s="1">
        <v>2</v>
      </c>
    </row>
    <row r="2771" spans="1:19" ht="15.75" customHeight="1" x14ac:dyDescent="0.25">
      <c r="A2771" s="2">
        <v>9823111</v>
      </c>
      <c r="B2771">
        <v>9823111</v>
      </c>
      <c r="C2771" t="str">
        <f>HYPERLINK("https://ois.dk/map/9823111/sfe", "Link")</f>
        <v>Link</v>
      </c>
      <c r="D2771" t="s">
        <v>3908</v>
      </c>
      <c r="E2771" s="17">
        <v>0.75</v>
      </c>
      <c r="F2771" t="s">
        <v>3909</v>
      </c>
      <c r="G2771">
        <v>0.5</v>
      </c>
      <c r="H2771">
        <v>0.25</v>
      </c>
      <c r="Q2771" s="1"/>
      <c r="R2771" s="1"/>
    </row>
    <row r="2772" spans="1:19" ht="15.75" customHeight="1" x14ac:dyDescent="0.25">
      <c r="A2772" s="2">
        <v>9861885</v>
      </c>
      <c r="B2772">
        <v>9861885</v>
      </c>
      <c r="C2772" t="str">
        <f>HYPERLINK("https://ois.dk/map/9861885/sfe", "Link")</f>
        <v>Link</v>
      </c>
      <c r="D2772" t="s">
        <v>3910</v>
      </c>
      <c r="E2772" s="17">
        <v>1.75</v>
      </c>
      <c r="F2772" t="s">
        <v>3911</v>
      </c>
      <c r="G2772">
        <v>0.5</v>
      </c>
      <c r="H2772">
        <v>0.25</v>
      </c>
      <c r="I2772">
        <v>1</v>
      </c>
      <c r="Q2772" s="1"/>
      <c r="R2772" s="1">
        <v>0.89</v>
      </c>
    </row>
    <row r="2773" spans="1:19" ht="15.75" customHeight="1" x14ac:dyDescent="0.25">
      <c r="A2773" s="2">
        <v>9861886</v>
      </c>
      <c r="B2773">
        <v>9861886</v>
      </c>
      <c r="C2773" t="str">
        <f>HYPERLINK("https://ois.dk/map/9861886/sfe", "Link")</f>
        <v>Link</v>
      </c>
      <c r="D2773" t="s">
        <v>3912</v>
      </c>
      <c r="E2773" s="17">
        <v>1.75</v>
      </c>
      <c r="F2773" t="s">
        <v>3913</v>
      </c>
      <c r="G2773">
        <v>0.5</v>
      </c>
      <c r="H2773">
        <v>0.25</v>
      </c>
      <c r="I2773">
        <v>1</v>
      </c>
      <c r="Q2773" s="1"/>
      <c r="R2773" s="1">
        <v>1.34</v>
      </c>
    </row>
    <row r="2774" spans="1:19" ht="15.75" customHeight="1" x14ac:dyDescent="0.25">
      <c r="A2774" s="2">
        <v>9862152</v>
      </c>
      <c r="B2774">
        <v>9862152</v>
      </c>
      <c r="C2774" t="str">
        <f>HYPERLINK("https://ois.dk/map/9862152/sfe", "Link")</f>
        <v>Link</v>
      </c>
      <c r="D2774" t="s">
        <v>1272</v>
      </c>
      <c r="E2774" s="17">
        <v>1.2250000000000001</v>
      </c>
      <c r="G2774">
        <v>0.5</v>
      </c>
      <c r="H2774">
        <v>0.25</v>
      </c>
      <c r="L2774">
        <v>0.47499999999999998</v>
      </c>
      <c r="Q2774" s="1"/>
      <c r="R2774" s="1"/>
    </row>
    <row r="2775" spans="1:19" ht="15.75" customHeight="1" x14ac:dyDescent="0.25">
      <c r="A2775" s="2">
        <v>9862153</v>
      </c>
      <c r="B2775">
        <v>9862153</v>
      </c>
      <c r="C2775" t="str">
        <f>HYPERLINK("https://ois.dk/map/9862153/sfe", "Link")</f>
        <v>Link</v>
      </c>
      <c r="D2775" t="s">
        <v>1422</v>
      </c>
      <c r="E2775" s="17">
        <v>5.75</v>
      </c>
      <c r="F2775" t="s">
        <v>3914</v>
      </c>
      <c r="G2775">
        <v>0.5</v>
      </c>
      <c r="H2775">
        <v>0.25</v>
      </c>
      <c r="I2775">
        <v>1</v>
      </c>
      <c r="K2775">
        <v>4</v>
      </c>
      <c r="Q2775" s="1"/>
      <c r="R2775" s="1">
        <v>0.98</v>
      </c>
    </row>
    <row r="2776" spans="1:19" ht="15.75" customHeight="1" x14ac:dyDescent="0.25">
      <c r="A2776" s="2">
        <v>9862154</v>
      </c>
      <c r="B2776">
        <v>9862154</v>
      </c>
      <c r="C2776" t="str">
        <f>HYPERLINK("https://ois.dk/map/9862154/sfe", "Link")</f>
        <v>Link</v>
      </c>
      <c r="D2776" t="s">
        <v>1424</v>
      </c>
      <c r="E2776" s="17">
        <v>0.75</v>
      </c>
      <c r="F2776" t="s">
        <v>3915</v>
      </c>
      <c r="G2776">
        <v>0.5</v>
      </c>
      <c r="H2776">
        <v>0.25</v>
      </c>
      <c r="Q2776" s="1"/>
      <c r="R2776" s="1"/>
    </row>
    <row r="2777" spans="1:19" ht="15.75" customHeight="1" x14ac:dyDescent="0.25">
      <c r="A2777" s="2">
        <v>9862155</v>
      </c>
      <c r="B2777">
        <v>9862155</v>
      </c>
      <c r="C2777" t="str">
        <f>HYPERLINK("https://ois.dk/map/9862155/sfe", "Link")</f>
        <v>Link</v>
      </c>
      <c r="D2777" t="s">
        <v>1426</v>
      </c>
      <c r="E2777" s="17">
        <v>0.75</v>
      </c>
      <c r="F2777" t="s">
        <v>3916</v>
      </c>
      <c r="G2777">
        <v>0.5</v>
      </c>
      <c r="H2777">
        <v>0.25</v>
      </c>
      <c r="Q2777" s="1"/>
      <c r="R2777" s="1"/>
    </row>
    <row r="2778" spans="1:19" ht="15.75" customHeight="1" x14ac:dyDescent="0.25">
      <c r="A2778" s="2">
        <v>9862158</v>
      </c>
      <c r="B2778">
        <v>733020</v>
      </c>
      <c r="C2778" t="str">
        <f>HYPERLINK("https://ois.dk/map/733020/sfe", "Link")</f>
        <v>Link</v>
      </c>
      <c r="D2778" t="s">
        <v>144</v>
      </c>
      <c r="E2778" s="17">
        <v>0.5</v>
      </c>
      <c r="F2778" t="s">
        <v>3917</v>
      </c>
      <c r="G2778">
        <v>0.5</v>
      </c>
      <c r="Q2778" s="1"/>
      <c r="R2778" s="1">
        <v>1.36</v>
      </c>
      <c r="S2778">
        <v>1.1499999999999999</v>
      </c>
    </row>
    <row r="2779" spans="1:19" ht="15.75" customHeight="1" x14ac:dyDescent="0.25">
      <c r="A2779" s="2">
        <v>9862158</v>
      </c>
      <c r="B2779">
        <v>9862158</v>
      </c>
      <c r="C2779" t="str">
        <f>HYPERLINK("https://ois.dk/map/9862158/sfe", "Link")</f>
        <v>Link</v>
      </c>
      <c r="D2779" t="s">
        <v>144</v>
      </c>
      <c r="E2779" s="17">
        <v>7.5500000000000007</v>
      </c>
      <c r="F2779" t="s">
        <v>3917</v>
      </c>
      <c r="G2779">
        <v>0.5</v>
      </c>
      <c r="H2779">
        <v>0.25</v>
      </c>
      <c r="J2779">
        <v>0.3</v>
      </c>
      <c r="K2779">
        <v>1</v>
      </c>
      <c r="Q2779" s="1"/>
      <c r="R2779" s="1">
        <v>1.36</v>
      </c>
      <c r="S2779">
        <v>1.1499999999999999</v>
      </c>
    </row>
    <row r="2780" spans="1:19" ht="15.75" customHeight="1" x14ac:dyDescent="0.25">
      <c r="A2780" s="2">
        <v>9862158</v>
      </c>
      <c r="B2780">
        <v>9862158</v>
      </c>
      <c r="C2780" t="str">
        <f>HYPERLINK("https://ois.dk/map/9862158/sfe", "Link")</f>
        <v>Link</v>
      </c>
      <c r="D2780" t="s">
        <v>144</v>
      </c>
      <c r="E2780" s="17">
        <v>1.5</v>
      </c>
      <c r="F2780" t="s">
        <v>3917</v>
      </c>
      <c r="G2780">
        <v>0.5</v>
      </c>
      <c r="I2780">
        <v>1</v>
      </c>
      <c r="Q2780" s="1"/>
      <c r="R2780" s="1">
        <v>1.77</v>
      </c>
      <c r="S2780">
        <v>1.1499999999999999</v>
      </c>
    </row>
    <row r="2781" spans="1:19" ht="15.75" customHeight="1" x14ac:dyDescent="0.25">
      <c r="A2781" s="2">
        <v>9862158</v>
      </c>
      <c r="B2781">
        <v>9862158</v>
      </c>
      <c r="C2781" t="str">
        <f>HYPERLINK("https://ois.dk/map/9862158/sfe", "Link")</f>
        <v>Link</v>
      </c>
      <c r="D2781" t="s">
        <v>144</v>
      </c>
      <c r="E2781" s="17">
        <v>1.5</v>
      </c>
      <c r="F2781" t="s">
        <v>3917</v>
      </c>
      <c r="G2781">
        <v>0.5</v>
      </c>
      <c r="I2781">
        <v>1</v>
      </c>
      <c r="Q2781" s="1"/>
      <c r="R2781" s="1">
        <v>1.36</v>
      </c>
      <c r="S2781">
        <v>1.1499999999999999</v>
      </c>
    </row>
    <row r="2782" spans="1:19" ht="15.75" customHeight="1" x14ac:dyDescent="0.25">
      <c r="A2782" s="2">
        <v>9862158</v>
      </c>
      <c r="B2782">
        <v>9862158</v>
      </c>
      <c r="C2782" t="str">
        <f>HYPERLINK("https://ois.dk/map/9862158/sfe", "Link")</f>
        <v>Link</v>
      </c>
      <c r="D2782" t="s">
        <v>144</v>
      </c>
      <c r="E2782" s="17">
        <v>1.5</v>
      </c>
      <c r="F2782" t="s">
        <v>3918</v>
      </c>
      <c r="G2782">
        <v>0.5</v>
      </c>
      <c r="I2782">
        <v>1</v>
      </c>
      <c r="Q2782" s="1"/>
      <c r="R2782" s="1">
        <v>1.79</v>
      </c>
      <c r="S2782">
        <v>1.1499999999999999</v>
      </c>
    </row>
    <row r="2783" spans="1:19" ht="15.75" customHeight="1" x14ac:dyDescent="0.25">
      <c r="A2783" s="2">
        <v>9862158</v>
      </c>
      <c r="B2783">
        <v>9862158</v>
      </c>
      <c r="C2783" t="str">
        <f>HYPERLINK("https://ois.dk/map/9862158/sfe", "Link")</f>
        <v>Link</v>
      </c>
      <c r="D2783" t="s">
        <v>144</v>
      </c>
      <c r="E2783" s="17">
        <v>1.5</v>
      </c>
      <c r="F2783" t="s">
        <v>3919</v>
      </c>
      <c r="G2783">
        <v>0.5</v>
      </c>
      <c r="I2783">
        <v>1</v>
      </c>
      <c r="Q2783" s="1"/>
      <c r="R2783" s="1">
        <v>1.79</v>
      </c>
      <c r="S2783">
        <v>1.1499999999999999</v>
      </c>
    </row>
    <row r="2784" spans="1:19" ht="15.75" customHeight="1" x14ac:dyDescent="0.25">
      <c r="A2784" s="2">
        <v>9915427</v>
      </c>
      <c r="B2784">
        <v>9915427</v>
      </c>
      <c r="C2784" t="str">
        <f>HYPERLINK("https://ois.dk/map/9915427/sfe", "Link")</f>
        <v>Link</v>
      </c>
      <c r="D2784" t="s">
        <v>3920</v>
      </c>
      <c r="E2784" s="17">
        <v>0.5</v>
      </c>
      <c r="G2784">
        <v>0.5</v>
      </c>
      <c r="Q2784" s="1"/>
      <c r="R2784" s="1"/>
    </row>
    <row r="2785" spans="1:18" ht="15.75" customHeight="1" x14ac:dyDescent="0.25">
      <c r="A2785" s="2">
        <v>9954105</v>
      </c>
      <c r="B2785">
        <v>9954105</v>
      </c>
      <c r="C2785" t="str">
        <f>HYPERLINK("https://ois.dk/map/9954105/sfe", "Link")</f>
        <v>Link</v>
      </c>
      <c r="D2785" t="s">
        <v>3921</v>
      </c>
      <c r="E2785" s="17">
        <v>1.75</v>
      </c>
      <c r="F2785" t="s">
        <v>3922</v>
      </c>
      <c r="G2785">
        <v>0.5</v>
      </c>
      <c r="H2785">
        <v>0.25</v>
      </c>
      <c r="I2785">
        <v>1</v>
      </c>
      <c r="Q2785" s="1"/>
      <c r="R2785" s="1">
        <v>1.76</v>
      </c>
    </row>
    <row r="2786" spans="1:18" ht="15.75" customHeight="1" x14ac:dyDescent="0.25">
      <c r="A2786" s="2">
        <v>9960329</v>
      </c>
      <c r="B2786">
        <v>9960329</v>
      </c>
      <c r="C2786" t="str">
        <f>HYPERLINK("https://ois.dk/map/9960329/sfe", "Link")</f>
        <v>Link</v>
      </c>
      <c r="D2786" t="s">
        <v>3923</v>
      </c>
      <c r="E2786" s="17">
        <v>1.75</v>
      </c>
      <c r="F2786" t="s">
        <v>3924</v>
      </c>
      <c r="G2786">
        <v>0.5</v>
      </c>
      <c r="H2786">
        <v>0.25</v>
      </c>
      <c r="I2786">
        <v>1</v>
      </c>
      <c r="Q2786" s="1"/>
      <c r="R2786" s="1">
        <v>2.12</v>
      </c>
    </row>
    <row r="2787" spans="1:18" ht="15.75" customHeight="1" x14ac:dyDescent="0.25">
      <c r="A2787" s="2">
        <v>9960330</v>
      </c>
      <c r="B2787">
        <v>9960330</v>
      </c>
      <c r="C2787" t="str">
        <f>HYPERLINK("https://ois.dk/map/9960330/sfe", "Link")</f>
        <v>Link</v>
      </c>
      <c r="D2787" t="s">
        <v>3925</v>
      </c>
      <c r="E2787" s="17">
        <v>1.75</v>
      </c>
      <c r="F2787" t="s">
        <v>3926</v>
      </c>
      <c r="G2787">
        <v>0.5</v>
      </c>
      <c r="H2787">
        <v>0.25</v>
      </c>
      <c r="I2787">
        <v>1</v>
      </c>
      <c r="Q2787" s="1"/>
      <c r="R2787" s="1">
        <v>2.15</v>
      </c>
    </row>
    <row r="2788" spans="1:18" ht="15.75" customHeight="1" x14ac:dyDescent="0.25">
      <c r="A2788" s="2">
        <v>9960331</v>
      </c>
      <c r="B2788">
        <v>9960331</v>
      </c>
      <c r="C2788" t="str">
        <f>HYPERLINK("https://ois.dk/map/9960331/sfe", "Link")</f>
        <v>Link</v>
      </c>
      <c r="D2788" t="s">
        <v>3927</v>
      </c>
      <c r="E2788" s="17">
        <v>0.75</v>
      </c>
      <c r="F2788" t="s">
        <v>3928</v>
      </c>
      <c r="G2788">
        <v>0.5</v>
      </c>
      <c r="H2788">
        <v>0.25</v>
      </c>
      <c r="Q2788" s="1"/>
      <c r="R2788" s="1"/>
    </row>
    <row r="2789" spans="1:18" ht="15.75" customHeight="1" x14ac:dyDescent="0.25">
      <c r="A2789" s="2">
        <v>9960332</v>
      </c>
      <c r="B2789">
        <v>9960332</v>
      </c>
      <c r="C2789" t="str">
        <f>HYPERLINK("https://ois.dk/map/9960332/sfe", "Link")</f>
        <v>Link</v>
      </c>
      <c r="D2789" t="s">
        <v>3929</v>
      </c>
      <c r="E2789" s="17">
        <v>1.75</v>
      </c>
      <c r="F2789" t="s">
        <v>3930</v>
      </c>
      <c r="G2789">
        <v>0.5</v>
      </c>
      <c r="H2789">
        <v>0.25</v>
      </c>
      <c r="I2789">
        <v>1</v>
      </c>
      <c r="Q2789" s="1"/>
      <c r="R2789" s="1">
        <v>2.06</v>
      </c>
    </row>
    <row r="2790" spans="1:18" ht="15.75" customHeight="1" x14ac:dyDescent="0.25">
      <c r="A2790" s="2">
        <v>9960333</v>
      </c>
      <c r="B2790">
        <v>9960333</v>
      </c>
      <c r="C2790" t="str">
        <f>HYPERLINK("https://ois.dk/map/9960333/sfe", "Link")</f>
        <v>Link</v>
      </c>
      <c r="D2790" t="s">
        <v>3931</v>
      </c>
      <c r="E2790" s="17">
        <v>1.75</v>
      </c>
      <c r="F2790" t="s">
        <v>3932</v>
      </c>
      <c r="G2790">
        <v>0.5</v>
      </c>
      <c r="H2790">
        <v>0.25</v>
      </c>
      <c r="I2790">
        <v>1</v>
      </c>
      <c r="Q2790" s="1"/>
      <c r="R2790" s="1">
        <v>1.79</v>
      </c>
    </row>
    <row r="2791" spans="1:18" ht="15.75" customHeight="1" x14ac:dyDescent="0.25">
      <c r="A2791" s="2">
        <v>9960334</v>
      </c>
      <c r="B2791">
        <v>9960334</v>
      </c>
      <c r="C2791" t="str">
        <f>HYPERLINK("https://ois.dk/map/9960334/sfe", "Link")</f>
        <v>Link</v>
      </c>
      <c r="D2791" t="s">
        <v>3933</v>
      </c>
      <c r="E2791" s="17">
        <v>1.75</v>
      </c>
      <c r="F2791" t="s">
        <v>3934</v>
      </c>
      <c r="G2791">
        <v>0.5</v>
      </c>
      <c r="H2791">
        <v>0.25</v>
      </c>
      <c r="I2791">
        <v>1</v>
      </c>
      <c r="Q2791" s="1"/>
      <c r="R2791" s="1">
        <v>1.92</v>
      </c>
    </row>
    <row r="2792" spans="1:18" ht="15.75" customHeight="1" x14ac:dyDescent="0.25">
      <c r="A2792" s="2">
        <v>9960335</v>
      </c>
      <c r="B2792">
        <v>9960335</v>
      </c>
      <c r="C2792" t="str">
        <f>HYPERLINK("https://ois.dk/map/9960335/sfe", "Link")</f>
        <v>Link</v>
      </c>
      <c r="D2792" t="s">
        <v>3935</v>
      </c>
      <c r="E2792" s="17">
        <v>1.75</v>
      </c>
      <c r="F2792" t="s">
        <v>3936</v>
      </c>
      <c r="G2792">
        <v>0.5</v>
      </c>
      <c r="H2792">
        <v>0.25</v>
      </c>
      <c r="I2792">
        <v>1</v>
      </c>
      <c r="Q2792" s="1"/>
      <c r="R2792" s="1">
        <v>2.06</v>
      </c>
    </row>
    <row r="2793" spans="1:18" ht="15.75" customHeight="1" x14ac:dyDescent="0.25">
      <c r="A2793" s="2">
        <v>9960336</v>
      </c>
      <c r="B2793">
        <v>9960336</v>
      </c>
      <c r="C2793" t="str">
        <f>HYPERLINK("https://ois.dk/map/9960336/sfe", "Link")</f>
        <v>Link</v>
      </c>
      <c r="D2793" t="s">
        <v>3937</v>
      </c>
      <c r="E2793" s="17">
        <v>1.75</v>
      </c>
      <c r="F2793" t="s">
        <v>3938</v>
      </c>
      <c r="G2793">
        <v>0.5</v>
      </c>
      <c r="H2793">
        <v>0.25</v>
      </c>
      <c r="I2793">
        <v>1</v>
      </c>
      <c r="Q2793" s="1"/>
      <c r="R2793" s="1">
        <v>2.15</v>
      </c>
    </row>
    <row r="2794" spans="1:18" ht="15.75" customHeight="1" x14ac:dyDescent="0.25">
      <c r="A2794" s="2">
        <v>9960337</v>
      </c>
      <c r="B2794">
        <v>9960337</v>
      </c>
      <c r="C2794" t="str">
        <f>HYPERLINK("https://ois.dk/map/9960337/sfe", "Link")</f>
        <v>Link</v>
      </c>
      <c r="D2794" t="s">
        <v>3939</v>
      </c>
      <c r="E2794" s="17">
        <v>0.75</v>
      </c>
      <c r="F2794" t="s">
        <v>3940</v>
      </c>
      <c r="G2794">
        <v>0.5</v>
      </c>
      <c r="H2794">
        <v>0.25</v>
      </c>
      <c r="Q2794" s="1"/>
      <c r="R2794" s="1"/>
    </row>
    <row r="2795" spans="1:18" ht="15.75" customHeight="1" x14ac:dyDescent="0.25">
      <c r="A2795" s="2">
        <v>9960958</v>
      </c>
      <c r="B2795">
        <v>9960958</v>
      </c>
      <c r="C2795" t="str">
        <f>HYPERLINK("https://ois.dk/map/9960958/sfe", "Link")</f>
        <v>Link</v>
      </c>
      <c r="D2795" t="s">
        <v>3941</v>
      </c>
      <c r="E2795" s="17">
        <v>0.5</v>
      </c>
      <c r="F2795" t="s">
        <v>3942</v>
      </c>
      <c r="G2795">
        <v>0.5</v>
      </c>
      <c r="Q2795" s="1"/>
      <c r="R2795" s="1"/>
    </row>
    <row r="2796" spans="1:18" ht="15.75" customHeight="1" x14ac:dyDescent="0.25">
      <c r="A2796" s="2">
        <v>9961570</v>
      </c>
      <c r="B2796">
        <v>9961570</v>
      </c>
      <c r="C2796" t="str">
        <f>HYPERLINK("https://ois.dk/map/9961570/sfe", "Link")</f>
        <v>Link</v>
      </c>
      <c r="D2796" t="s">
        <v>1493</v>
      </c>
      <c r="E2796" s="17">
        <v>1.75</v>
      </c>
      <c r="F2796" t="s">
        <v>3943</v>
      </c>
      <c r="G2796">
        <v>0.5</v>
      </c>
      <c r="H2796">
        <v>0.25</v>
      </c>
      <c r="I2796">
        <v>1</v>
      </c>
      <c r="Q2796" s="1"/>
      <c r="R2796" s="1">
        <v>0.74</v>
      </c>
    </row>
    <row r="2797" spans="1:18" ht="15.75" customHeight="1" x14ac:dyDescent="0.25">
      <c r="A2797" s="2">
        <v>9961571</v>
      </c>
      <c r="B2797">
        <v>9961571</v>
      </c>
      <c r="C2797" t="str">
        <f>HYPERLINK("https://ois.dk/map/9961571/sfe", "Link")</f>
        <v>Link</v>
      </c>
      <c r="D2797" t="s">
        <v>1494</v>
      </c>
      <c r="E2797" s="17">
        <v>1.75</v>
      </c>
      <c r="F2797" t="s">
        <v>3944</v>
      </c>
      <c r="G2797">
        <v>0.5</v>
      </c>
      <c r="H2797">
        <v>0.25</v>
      </c>
      <c r="I2797">
        <v>1</v>
      </c>
      <c r="Q2797" s="1"/>
      <c r="R2797" s="1">
        <v>0.73</v>
      </c>
    </row>
    <row r="2798" spans="1:18" ht="15.75" customHeight="1" x14ac:dyDescent="0.25">
      <c r="A2798" s="2">
        <v>9961572</v>
      </c>
      <c r="B2798">
        <v>9961572</v>
      </c>
      <c r="C2798" t="str">
        <f>HYPERLINK("https://ois.dk/map/9961572/sfe", "Link")</f>
        <v>Link</v>
      </c>
      <c r="D2798" t="s">
        <v>1496</v>
      </c>
      <c r="E2798" s="17">
        <v>1.75</v>
      </c>
      <c r="F2798" t="s">
        <v>3945</v>
      </c>
      <c r="G2798">
        <v>0.5</v>
      </c>
      <c r="H2798">
        <v>0.25</v>
      </c>
      <c r="I2798">
        <v>1</v>
      </c>
      <c r="Q2798" s="1"/>
      <c r="R2798" s="1">
        <v>0.65</v>
      </c>
    </row>
    <row r="2799" spans="1:18" ht="15.75" customHeight="1" x14ac:dyDescent="0.25">
      <c r="A2799" s="2">
        <v>9961573</v>
      </c>
      <c r="B2799">
        <v>9961573</v>
      </c>
      <c r="C2799" t="str">
        <f>HYPERLINK("https://ois.dk/map/9961573/sfe", "Link")</f>
        <v>Link</v>
      </c>
      <c r="D2799" t="s">
        <v>1498</v>
      </c>
      <c r="E2799" s="17">
        <v>1.75</v>
      </c>
      <c r="F2799" t="s">
        <v>3946</v>
      </c>
      <c r="G2799">
        <v>0.5</v>
      </c>
      <c r="H2799">
        <v>0.25</v>
      </c>
      <c r="I2799">
        <v>1</v>
      </c>
      <c r="Q2799" s="1"/>
      <c r="R2799" s="1">
        <v>0.49</v>
      </c>
    </row>
    <row r="2800" spans="1:18" ht="15.75" customHeight="1" x14ac:dyDescent="0.25">
      <c r="A2800" s="2">
        <v>9961574</v>
      </c>
      <c r="B2800">
        <v>9961574</v>
      </c>
      <c r="C2800" t="str">
        <f>HYPERLINK("https://ois.dk/map/9961574/sfe", "Link")</f>
        <v>Link</v>
      </c>
      <c r="D2800" t="s">
        <v>1500</v>
      </c>
      <c r="E2800" s="17">
        <v>0.75</v>
      </c>
      <c r="F2800" t="s">
        <v>3947</v>
      </c>
      <c r="G2800">
        <v>0.5</v>
      </c>
      <c r="H2800">
        <v>0.25</v>
      </c>
      <c r="Q2800" s="1"/>
      <c r="R2800" s="1"/>
    </row>
    <row r="2801" spans="1:18" ht="15.75" customHeight="1" x14ac:dyDescent="0.25">
      <c r="A2801" s="2">
        <v>9961575</v>
      </c>
      <c r="B2801">
        <v>9961575</v>
      </c>
      <c r="C2801" t="str">
        <f>HYPERLINK("https://ois.dk/map/9961575/sfe", "Link")</f>
        <v>Link</v>
      </c>
      <c r="D2801" t="s">
        <v>1501</v>
      </c>
      <c r="E2801" s="17">
        <v>1.75</v>
      </c>
      <c r="F2801" t="s">
        <v>3948</v>
      </c>
      <c r="G2801">
        <v>0.5</v>
      </c>
      <c r="H2801">
        <v>0.25</v>
      </c>
      <c r="I2801">
        <v>1</v>
      </c>
      <c r="Q2801" s="1"/>
      <c r="R2801" s="1">
        <v>0.53</v>
      </c>
    </row>
    <row r="2802" spans="1:18" ht="15.75" customHeight="1" x14ac:dyDescent="0.25">
      <c r="A2802" s="2">
        <v>9961576</v>
      </c>
      <c r="B2802">
        <v>733023</v>
      </c>
      <c r="C2802" t="str">
        <f>HYPERLINK("https://ois.dk/map/733023/sfe", "Link")</f>
        <v>Link</v>
      </c>
      <c r="D2802" t="s">
        <v>3949</v>
      </c>
      <c r="E2802" s="17">
        <v>0.5</v>
      </c>
      <c r="F2802" t="s">
        <v>3950</v>
      </c>
      <c r="G2802">
        <v>0.5</v>
      </c>
      <c r="Q2802" s="1"/>
      <c r="R2802" s="1">
        <v>1.65</v>
      </c>
    </row>
    <row r="2803" spans="1:18" ht="15.75" customHeight="1" x14ac:dyDescent="0.25">
      <c r="A2803" s="2">
        <v>9961576</v>
      </c>
      <c r="B2803">
        <v>9961576</v>
      </c>
      <c r="C2803" t="str">
        <f>HYPERLINK("https://ois.dk/map/9961576/sfe", "Link")</f>
        <v>Link</v>
      </c>
      <c r="D2803" t="s">
        <v>3949</v>
      </c>
      <c r="E2803" s="17">
        <v>3.05</v>
      </c>
      <c r="F2803" t="s">
        <v>3950</v>
      </c>
      <c r="G2803">
        <v>0.5</v>
      </c>
      <c r="H2803">
        <v>0.25</v>
      </c>
      <c r="I2803">
        <v>1</v>
      </c>
      <c r="J2803">
        <v>0.3</v>
      </c>
      <c r="K2803">
        <v>1</v>
      </c>
      <c r="Q2803" s="1"/>
      <c r="R2803" s="1">
        <v>1.65</v>
      </c>
    </row>
    <row r="2804" spans="1:18" ht="15.75" customHeight="1" x14ac:dyDescent="0.25">
      <c r="A2804" s="2">
        <v>9976119</v>
      </c>
      <c r="B2804">
        <v>287659</v>
      </c>
      <c r="C2804" t="str">
        <f>HYPERLINK("https://ois.dk/map/287659/sfe", "Link")</f>
        <v>Link</v>
      </c>
      <c r="D2804" t="s">
        <v>3951</v>
      </c>
      <c r="E2804" s="17">
        <v>0.5</v>
      </c>
      <c r="F2804" t="s">
        <v>3952</v>
      </c>
      <c r="G2804">
        <v>0.5</v>
      </c>
      <c r="Q2804" s="1"/>
      <c r="R2804" s="1"/>
    </row>
    <row r="2805" spans="1:18" ht="15.75" customHeight="1" x14ac:dyDescent="0.25">
      <c r="A2805" s="2">
        <v>9976119</v>
      </c>
      <c r="B2805">
        <v>287660</v>
      </c>
      <c r="C2805" t="str">
        <f>HYPERLINK("https://ois.dk/map/287660/sfe", "Link")</f>
        <v>Link</v>
      </c>
      <c r="D2805" t="s">
        <v>3951</v>
      </c>
      <c r="E2805" s="17">
        <v>0.5</v>
      </c>
      <c r="F2805" t="s">
        <v>3953</v>
      </c>
      <c r="G2805">
        <v>0.5</v>
      </c>
      <c r="Q2805" s="1"/>
      <c r="R2805" s="1"/>
    </row>
    <row r="2806" spans="1:18" ht="15.75" customHeight="1" x14ac:dyDescent="0.25">
      <c r="A2806" s="2">
        <v>9976119</v>
      </c>
      <c r="B2806">
        <v>287661</v>
      </c>
      <c r="C2806" t="str">
        <f>HYPERLINK("https://ois.dk/map/287661/sfe", "Link")</f>
        <v>Link</v>
      </c>
      <c r="D2806" t="s">
        <v>3951</v>
      </c>
      <c r="E2806" s="17">
        <v>0.5</v>
      </c>
      <c r="F2806" t="s">
        <v>3954</v>
      </c>
      <c r="G2806">
        <v>0.5</v>
      </c>
      <c r="Q2806" s="1"/>
      <c r="R2806" s="1"/>
    </row>
    <row r="2807" spans="1:18" ht="15.75" customHeight="1" x14ac:dyDescent="0.25">
      <c r="A2807" s="2">
        <v>9976119</v>
      </c>
      <c r="B2807">
        <v>9976119</v>
      </c>
      <c r="C2807" t="str">
        <f>HYPERLINK("https://ois.dk/map/9976119/sfe", "Link")</f>
        <v>Link</v>
      </c>
      <c r="D2807" t="s">
        <v>3951</v>
      </c>
      <c r="E2807" s="17">
        <v>1.25</v>
      </c>
      <c r="F2807" t="s">
        <v>3955</v>
      </c>
      <c r="H2807">
        <v>0.25</v>
      </c>
      <c r="I2807">
        <v>1</v>
      </c>
      <c r="Q2807" s="1"/>
      <c r="R2807" s="1">
        <v>0.8</v>
      </c>
    </row>
    <row r="2808" spans="1:18" ht="15.75" customHeight="1" x14ac:dyDescent="0.25">
      <c r="A2808" s="2">
        <v>9983766</v>
      </c>
      <c r="B2808">
        <v>9983766</v>
      </c>
      <c r="C2808" t="str">
        <f>HYPERLINK("https://ois.dk/map/9983766/sfe", "Link")</f>
        <v>Link</v>
      </c>
      <c r="D2808" t="s">
        <v>544</v>
      </c>
      <c r="E2808" s="17">
        <v>0.5</v>
      </c>
      <c r="F2808" t="s">
        <v>3956</v>
      </c>
      <c r="G2808">
        <v>0.5</v>
      </c>
      <c r="Q2808" s="1"/>
      <c r="R2808" s="1"/>
    </row>
    <row r="2809" spans="1:18" ht="15.75" customHeight="1" x14ac:dyDescent="0.25">
      <c r="A2809" s="2">
        <v>10012568</v>
      </c>
      <c r="B2809">
        <v>10012568</v>
      </c>
      <c r="C2809" t="str">
        <f>HYPERLINK("https://ois.dk/map/10012568/sfe", "Link")</f>
        <v>Link</v>
      </c>
      <c r="D2809" t="s">
        <v>3957</v>
      </c>
      <c r="E2809" s="17">
        <v>0.503</v>
      </c>
      <c r="F2809" t="s">
        <v>3958</v>
      </c>
      <c r="G2809">
        <v>0.5</v>
      </c>
      <c r="M2809">
        <v>3.0000000000000001E-3</v>
      </c>
      <c r="Q2809" s="1"/>
      <c r="R2809" s="1"/>
    </row>
    <row r="2810" spans="1:18" ht="15.75" customHeight="1" x14ac:dyDescent="0.25">
      <c r="A2810" s="2">
        <v>10012572</v>
      </c>
      <c r="B2810">
        <v>10012572</v>
      </c>
      <c r="C2810" t="str">
        <f>HYPERLINK("https://ois.dk/map/10012572/sfe", "Link")</f>
        <v>Link</v>
      </c>
      <c r="D2810" t="s">
        <v>3959</v>
      </c>
      <c r="E2810" s="17">
        <v>0.83099999999999996</v>
      </c>
      <c r="F2810" t="s">
        <v>3960</v>
      </c>
      <c r="G2810">
        <v>0.5</v>
      </c>
      <c r="H2810">
        <v>0.25</v>
      </c>
      <c r="M2810">
        <v>8.1000000000000003E-2</v>
      </c>
      <c r="Q2810" s="1"/>
      <c r="R2810" s="1"/>
    </row>
    <row r="2811" spans="1:18" ht="15.75" customHeight="1" x14ac:dyDescent="0.25">
      <c r="A2811" s="2">
        <v>10012574</v>
      </c>
      <c r="B2811">
        <v>10012574</v>
      </c>
      <c r="C2811" t="str">
        <f>HYPERLINK("https://ois.dk/map/10012574/sfe", "Link")</f>
        <v>Link</v>
      </c>
      <c r="D2811" t="s">
        <v>3961</v>
      </c>
      <c r="E2811" s="17">
        <v>0.67</v>
      </c>
      <c r="F2811" t="s">
        <v>3962</v>
      </c>
      <c r="G2811">
        <v>0.5</v>
      </c>
      <c r="M2811">
        <v>0.17</v>
      </c>
      <c r="Q2811" s="1"/>
      <c r="R2811" s="1"/>
    </row>
    <row r="2812" spans="1:18" ht="15.75" customHeight="1" x14ac:dyDescent="0.25">
      <c r="A2812" s="2">
        <v>10014509</v>
      </c>
      <c r="B2812">
        <v>10014509</v>
      </c>
      <c r="C2812" t="str">
        <f>HYPERLINK("https://ois.dk/map/10014509/sfe", "Link")</f>
        <v>Link</v>
      </c>
      <c r="D2812" t="s">
        <v>3963</v>
      </c>
      <c r="E2812" s="17">
        <v>1.75</v>
      </c>
      <c r="F2812" t="s">
        <v>3964</v>
      </c>
      <c r="G2812">
        <v>0.5</v>
      </c>
      <c r="H2812">
        <v>0.25</v>
      </c>
      <c r="I2812">
        <v>1</v>
      </c>
      <c r="Q2812" s="1"/>
      <c r="R2812" s="1">
        <v>2.04</v>
      </c>
    </row>
    <row r="2813" spans="1:18" ht="15.75" customHeight="1" x14ac:dyDescent="0.25">
      <c r="A2813" s="2">
        <v>10015262</v>
      </c>
      <c r="B2813">
        <v>10015262</v>
      </c>
      <c r="C2813" t="str">
        <f>HYPERLINK("https://ois.dk/map/10015262/sfe", "Link")</f>
        <v>Link</v>
      </c>
      <c r="D2813" t="s">
        <v>3965</v>
      </c>
      <c r="E2813" s="17">
        <v>0.53700000000000003</v>
      </c>
      <c r="F2813" t="s">
        <v>3966</v>
      </c>
      <c r="G2813">
        <v>0.5</v>
      </c>
      <c r="M2813">
        <v>3.6999999999999998E-2</v>
      </c>
      <c r="Q2813" s="1"/>
      <c r="R2813" s="1"/>
    </row>
    <row r="2814" spans="1:18" ht="15.75" customHeight="1" x14ac:dyDescent="0.25">
      <c r="A2814" s="2">
        <v>10030361</v>
      </c>
      <c r="B2814">
        <v>287662</v>
      </c>
      <c r="C2814" t="str">
        <f>HYPERLINK("https://ois.dk/map/287662/sfe", "Link")</f>
        <v>Link</v>
      </c>
      <c r="D2814" t="s">
        <v>3967</v>
      </c>
      <c r="E2814" s="17">
        <v>1.5</v>
      </c>
      <c r="F2814" t="s">
        <v>3968</v>
      </c>
      <c r="G2814">
        <v>0.5</v>
      </c>
      <c r="I2814">
        <v>1</v>
      </c>
      <c r="Q2814" s="1"/>
      <c r="R2814" s="1">
        <v>0.83</v>
      </c>
    </row>
    <row r="2815" spans="1:18" ht="15.75" customHeight="1" x14ac:dyDescent="0.25">
      <c r="A2815" s="2">
        <v>10030361</v>
      </c>
      <c r="B2815">
        <v>287663</v>
      </c>
      <c r="C2815" t="str">
        <f>HYPERLINK("https://ois.dk/map/287663/sfe", "Link")</f>
        <v>Link</v>
      </c>
      <c r="D2815" t="s">
        <v>3967</v>
      </c>
      <c r="E2815" s="17">
        <v>0.5</v>
      </c>
      <c r="F2815" t="s">
        <v>3969</v>
      </c>
      <c r="G2815">
        <v>0.5</v>
      </c>
      <c r="Q2815" s="1"/>
      <c r="R2815" s="1"/>
    </row>
    <row r="2816" spans="1:18" ht="15.75" customHeight="1" x14ac:dyDescent="0.25">
      <c r="A2816" s="2">
        <v>10030361</v>
      </c>
      <c r="B2816">
        <v>287664</v>
      </c>
      <c r="C2816" t="str">
        <f>HYPERLINK("https://ois.dk/map/287664/sfe", "Link")</f>
        <v>Link</v>
      </c>
      <c r="D2816" t="s">
        <v>3967</v>
      </c>
      <c r="E2816" s="17">
        <v>0.5</v>
      </c>
      <c r="F2816" t="s">
        <v>3970</v>
      </c>
      <c r="G2816">
        <v>0.5</v>
      </c>
      <c r="Q2816" s="1"/>
      <c r="R2816" s="1"/>
    </row>
    <row r="2817" spans="1:19" ht="15.75" customHeight="1" x14ac:dyDescent="0.25">
      <c r="A2817" s="2">
        <v>10030361</v>
      </c>
      <c r="B2817">
        <v>287665</v>
      </c>
      <c r="C2817" t="str">
        <f>HYPERLINK("https://ois.dk/map/287665/sfe", "Link")</f>
        <v>Link</v>
      </c>
      <c r="D2817" t="s">
        <v>3967</v>
      </c>
      <c r="E2817" s="17">
        <v>1.5</v>
      </c>
      <c r="F2817" t="s">
        <v>3971</v>
      </c>
      <c r="G2817">
        <v>0.5</v>
      </c>
      <c r="I2817">
        <v>1</v>
      </c>
      <c r="Q2817" s="1"/>
      <c r="R2817" s="1">
        <v>0.83</v>
      </c>
    </row>
    <row r="2818" spans="1:19" ht="15.75" customHeight="1" x14ac:dyDescent="0.25">
      <c r="A2818" s="2">
        <v>10030361</v>
      </c>
      <c r="B2818">
        <v>287666</v>
      </c>
      <c r="C2818" t="str">
        <f>HYPERLINK("https://ois.dk/map/287666/sfe", "Link")</f>
        <v>Link</v>
      </c>
      <c r="D2818" t="s">
        <v>3967</v>
      </c>
      <c r="E2818" s="17">
        <v>0.5</v>
      </c>
      <c r="F2818" t="s">
        <v>3972</v>
      </c>
      <c r="G2818">
        <v>0.5</v>
      </c>
      <c r="Q2818" s="1"/>
      <c r="R2818" s="1"/>
    </row>
    <row r="2819" spans="1:19" ht="15.75" customHeight="1" x14ac:dyDescent="0.25">
      <c r="A2819" s="2">
        <v>10030361</v>
      </c>
      <c r="B2819">
        <v>287667</v>
      </c>
      <c r="C2819" t="str">
        <f>HYPERLINK("https://ois.dk/map/287667/sfe", "Link")</f>
        <v>Link</v>
      </c>
      <c r="D2819" t="s">
        <v>3967</v>
      </c>
      <c r="E2819" s="17">
        <v>0.5</v>
      </c>
      <c r="F2819" t="s">
        <v>3973</v>
      </c>
      <c r="G2819">
        <v>0.5</v>
      </c>
      <c r="Q2819" s="1"/>
      <c r="R2819" s="1"/>
    </row>
    <row r="2820" spans="1:19" ht="15.75" customHeight="1" x14ac:dyDescent="0.25">
      <c r="A2820" s="2">
        <v>10030361</v>
      </c>
      <c r="B2820">
        <v>287668</v>
      </c>
      <c r="C2820" t="str">
        <f>HYPERLINK("https://ois.dk/map/287668/sfe", "Link")</f>
        <v>Link</v>
      </c>
      <c r="D2820" t="s">
        <v>3967</v>
      </c>
      <c r="E2820" s="17">
        <v>1.5</v>
      </c>
      <c r="F2820" t="s">
        <v>3974</v>
      </c>
      <c r="G2820">
        <v>0.5</v>
      </c>
      <c r="I2820">
        <v>1</v>
      </c>
      <c r="Q2820" s="1"/>
      <c r="R2820" s="1">
        <v>0.97</v>
      </c>
    </row>
    <row r="2821" spans="1:19" ht="15.75" customHeight="1" x14ac:dyDescent="0.25">
      <c r="A2821" s="2">
        <v>10030361</v>
      </c>
      <c r="B2821">
        <v>287669</v>
      </c>
      <c r="C2821" t="str">
        <f>HYPERLINK("https://ois.dk/map/287669/sfe", "Link")</f>
        <v>Link</v>
      </c>
      <c r="D2821" t="s">
        <v>3967</v>
      </c>
      <c r="E2821" s="17">
        <v>1.5</v>
      </c>
      <c r="F2821" t="s">
        <v>3975</v>
      </c>
      <c r="G2821">
        <v>0.5</v>
      </c>
      <c r="I2821">
        <v>1</v>
      </c>
      <c r="Q2821" s="1"/>
      <c r="R2821" s="1">
        <v>0.97</v>
      </c>
    </row>
    <row r="2822" spans="1:19" ht="15.75" customHeight="1" x14ac:dyDescent="0.25">
      <c r="A2822" s="2">
        <v>10030361</v>
      </c>
      <c r="B2822">
        <v>287670</v>
      </c>
      <c r="C2822" t="str">
        <f>HYPERLINK("https://ois.dk/map/287670/sfe", "Link")</f>
        <v>Link</v>
      </c>
      <c r="D2822" t="s">
        <v>3967</v>
      </c>
      <c r="E2822" s="17">
        <v>0.5</v>
      </c>
      <c r="F2822" t="s">
        <v>3976</v>
      </c>
      <c r="G2822">
        <v>0.5</v>
      </c>
      <c r="Q2822" s="1"/>
      <c r="R2822" s="1"/>
    </row>
    <row r="2823" spans="1:19" ht="15.75" customHeight="1" x14ac:dyDescent="0.25">
      <c r="A2823" s="2">
        <v>10030361</v>
      </c>
      <c r="B2823">
        <v>287671</v>
      </c>
      <c r="C2823" t="str">
        <f>HYPERLINK("https://ois.dk/map/287671/sfe", "Link")</f>
        <v>Link</v>
      </c>
      <c r="D2823" t="s">
        <v>3967</v>
      </c>
      <c r="E2823" s="17">
        <v>0.5</v>
      </c>
      <c r="F2823" t="s">
        <v>3977</v>
      </c>
      <c r="G2823">
        <v>0.5</v>
      </c>
      <c r="Q2823" s="1"/>
      <c r="R2823" s="1"/>
    </row>
    <row r="2824" spans="1:19" ht="15.75" customHeight="1" x14ac:dyDescent="0.25">
      <c r="A2824" s="2">
        <v>10030361</v>
      </c>
      <c r="B2824">
        <v>287672</v>
      </c>
      <c r="C2824" t="str">
        <f>HYPERLINK("https://ois.dk/map/287672/sfe", "Link")</f>
        <v>Link</v>
      </c>
      <c r="D2824" t="s">
        <v>3967</v>
      </c>
      <c r="E2824" s="17">
        <v>1.5</v>
      </c>
      <c r="F2824" t="s">
        <v>3978</v>
      </c>
      <c r="G2824">
        <v>0.5</v>
      </c>
      <c r="I2824">
        <v>1</v>
      </c>
      <c r="Q2824" s="1"/>
      <c r="R2824" s="1">
        <v>0.86</v>
      </c>
    </row>
    <row r="2825" spans="1:19" ht="15.75" customHeight="1" x14ac:dyDescent="0.25">
      <c r="A2825" s="2">
        <v>10030361</v>
      </c>
      <c r="B2825">
        <v>10030361</v>
      </c>
      <c r="C2825" t="str">
        <f>HYPERLINK("https://ois.dk/map/10030361/sfe", "Link")</f>
        <v>Link</v>
      </c>
      <c r="D2825" t="s">
        <v>3967</v>
      </c>
      <c r="E2825" s="17">
        <v>0.25</v>
      </c>
      <c r="F2825" t="s">
        <v>3979</v>
      </c>
      <c r="H2825">
        <v>0.25</v>
      </c>
      <c r="Q2825" s="1"/>
      <c r="R2825" s="1">
        <v>0.83</v>
      </c>
    </row>
    <row r="2826" spans="1:19" ht="15.75" customHeight="1" x14ac:dyDescent="0.25">
      <c r="A2826" s="2">
        <v>10031293</v>
      </c>
      <c r="B2826">
        <v>10031293</v>
      </c>
      <c r="C2826" t="str">
        <f>HYPERLINK("https://ois.dk/map/10031293/sfe", "Link")</f>
        <v>Link</v>
      </c>
      <c r="D2826" t="s">
        <v>3980</v>
      </c>
      <c r="E2826" s="17">
        <v>1.05</v>
      </c>
      <c r="F2826" t="s">
        <v>3981</v>
      </c>
      <c r="G2826">
        <v>0.5</v>
      </c>
      <c r="H2826">
        <v>0.25</v>
      </c>
      <c r="J2826">
        <v>0.3</v>
      </c>
      <c r="Q2826" s="1"/>
      <c r="R2826" s="1"/>
      <c r="S2826">
        <v>1.61</v>
      </c>
    </row>
    <row r="2827" spans="1:19" ht="15.75" customHeight="1" x14ac:dyDescent="0.25">
      <c r="A2827" s="2">
        <v>10041169</v>
      </c>
      <c r="B2827">
        <v>10041169</v>
      </c>
      <c r="C2827" t="str">
        <f>HYPERLINK("https://ois.dk/map/10041169/sfe", "Link")</f>
        <v>Link</v>
      </c>
      <c r="D2827" t="s">
        <v>3982</v>
      </c>
      <c r="E2827" s="17">
        <v>0.25</v>
      </c>
      <c r="F2827" t="s">
        <v>3983</v>
      </c>
      <c r="H2827">
        <v>0.25</v>
      </c>
      <c r="Q2827" s="1"/>
      <c r="R2827" s="1">
        <v>1.83</v>
      </c>
    </row>
    <row r="2828" spans="1:19" ht="15.75" customHeight="1" x14ac:dyDescent="0.25">
      <c r="A2828" s="2">
        <v>10041169</v>
      </c>
      <c r="B2828">
        <v>10041169</v>
      </c>
      <c r="C2828" t="str">
        <f>HYPERLINK("https://ois.dk/map/10041169/sfe", "Link")</f>
        <v>Link</v>
      </c>
      <c r="D2828" t="s">
        <v>3982</v>
      </c>
      <c r="E2828" s="17">
        <v>1.5</v>
      </c>
      <c r="F2828" t="s">
        <v>3983</v>
      </c>
      <c r="G2828">
        <v>0.5</v>
      </c>
      <c r="I2828">
        <v>1</v>
      </c>
      <c r="Q2828" s="1"/>
      <c r="R2828" s="1">
        <v>1.83</v>
      </c>
    </row>
    <row r="2829" spans="1:19" ht="15.75" customHeight="1" x14ac:dyDescent="0.25">
      <c r="A2829" s="2">
        <v>10041169</v>
      </c>
      <c r="B2829">
        <v>10041169</v>
      </c>
      <c r="C2829" t="str">
        <f>HYPERLINK("https://ois.dk/map/10041169/sfe", "Link")</f>
        <v>Link</v>
      </c>
      <c r="D2829" t="s">
        <v>3982</v>
      </c>
      <c r="E2829" s="17">
        <v>1.5</v>
      </c>
      <c r="F2829" t="s">
        <v>3983</v>
      </c>
      <c r="G2829">
        <v>0.5</v>
      </c>
      <c r="I2829">
        <v>1</v>
      </c>
      <c r="Q2829" s="1"/>
      <c r="R2829" s="1">
        <v>1.83</v>
      </c>
    </row>
    <row r="2830" spans="1:19" ht="15.75" customHeight="1" x14ac:dyDescent="0.25">
      <c r="A2830" s="2">
        <v>10041170</v>
      </c>
      <c r="B2830">
        <v>10041170</v>
      </c>
      <c r="C2830" t="str">
        <f>HYPERLINK("https://ois.dk/map/10041170/sfe", "Link")</f>
        <v>Link</v>
      </c>
      <c r="D2830" t="s">
        <v>3984</v>
      </c>
      <c r="E2830" s="17">
        <v>1.25</v>
      </c>
      <c r="F2830" t="s">
        <v>3985</v>
      </c>
      <c r="H2830">
        <v>0.25</v>
      </c>
      <c r="K2830">
        <v>1</v>
      </c>
      <c r="Q2830" s="1"/>
      <c r="R2830" s="1">
        <v>1.75</v>
      </c>
    </row>
    <row r="2831" spans="1:19" ht="15.75" customHeight="1" x14ac:dyDescent="0.25">
      <c r="A2831" s="2">
        <v>10041170</v>
      </c>
      <c r="B2831">
        <v>10041170</v>
      </c>
      <c r="C2831" t="str">
        <f>HYPERLINK("https://ois.dk/map/10041170/sfe", "Link")</f>
        <v>Link</v>
      </c>
      <c r="D2831" t="s">
        <v>3984</v>
      </c>
      <c r="E2831" s="17">
        <v>1.5</v>
      </c>
      <c r="F2831" t="s">
        <v>3985</v>
      </c>
      <c r="G2831">
        <v>0.5</v>
      </c>
      <c r="I2831">
        <v>1</v>
      </c>
      <c r="Q2831" s="1"/>
      <c r="R2831" s="1">
        <v>1.85</v>
      </c>
    </row>
    <row r="2832" spans="1:19" ht="15.75" customHeight="1" x14ac:dyDescent="0.25">
      <c r="A2832" s="2">
        <v>10041170</v>
      </c>
      <c r="B2832">
        <v>10041170</v>
      </c>
      <c r="C2832" t="str">
        <f>HYPERLINK("https://ois.dk/map/10041170/sfe", "Link")</f>
        <v>Link</v>
      </c>
      <c r="D2832" t="s">
        <v>3984</v>
      </c>
      <c r="E2832" s="17">
        <v>1.5</v>
      </c>
      <c r="F2832" t="s">
        <v>3985</v>
      </c>
      <c r="G2832">
        <v>0.5</v>
      </c>
      <c r="I2832">
        <v>1</v>
      </c>
      <c r="Q2832" s="1"/>
      <c r="R2832" s="1">
        <v>1.75</v>
      </c>
    </row>
    <row r="2833" spans="1:18" ht="15.75" customHeight="1" x14ac:dyDescent="0.25">
      <c r="A2833" s="2">
        <v>10055579</v>
      </c>
      <c r="B2833">
        <v>287673</v>
      </c>
      <c r="C2833" t="str">
        <f>HYPERLINK("https://ois.dk/map/287673/sfe", "Link")</f>
        <v>Link</v>
      </c>
      <c r="D2833" t="s">
        <v>3986</v>
      </c>
      <c r="E2833" s="17">
        <v>1.5</v>
      </c>
      <c r="F2833" t="s">
        <v>3987</v>
      </c>
      <c r="G2833">
        <v>0.5</v>
      </c>
      <c r="I2833">
        <v>1</v>
      </c>
      <c r="Q2833" s="1"/>
      <c r="R2833" s="1">
        <v>0.94</v>
      </c>
    </row>
    <row r="2834" spans="1:18" ht="15.75" customHeight="1" x14ac:dyDescent="0.25">
      <c r="A2834" s="2">
        <v>10055579</v>
      </c>
      <c r="B2834">
        <v>287674</v>
      </c>
      <c r="C2834" t="str">
        <f>HYPERLINK("https://ois.dk/map/287674/sfe", "Link")</f>
        <v>Link</v>
      </c>
      <c r="D2834" t="s">
        <v>3986</v>
      </c>
      <c r="E2834" s="17">
        <v>1.5</v>
      </c>
      <c r="F2834" t="s">
        <v>3988</v>
      </c>
      <c r="G2834">
        <v>0.5</v>
      </c>
      <c r="I2834">
        <v>1</v>
      </c>
      <c r="Q2834" s="1"/>
      <c r="R2834" s="1">
        <v>0.94</v>
      </c>
    </row>
    <row r="2835" spans="1:18" ht="15.75" customHeight="1" x14ac:dyDescent="0.25">
      <c r="A2835" s="2">
        <v>10055579</v>
      </c>
      <c r="B2835">
        <v>287675</v>
      </c>
      <c r="C2835" t="str">
        <f>HYPERLINK("https://ois.dk/map/287675/sfe", "Link")</f>
        <v>Link</v>
      </c>
      <c r="D2835" t="s">
        <v>3986</v>
      </c>
      <c r="E2835" s="17">
        <v>0.5</v>
      </c>
      <c r="F2835" t="s">
        <v>3989</v>
      </c>
      <c r="G2835">
        <v>0.5</v>
      </c>
      <c r="Q2835" s="1"/>
      <c r="R2835" s="1"/>
    </row>
    <row r="2836" spans="1:18" ht="15.75" customHeight="1" x14ac:dyDescent="0.25">
      <c r="A2836" s="2">
        <v>10055579</v>
      </c>
      <c r="B2836">
        <v>287676</v>
      </c>
      <c r="C2836" t="str">
        <f>HYPERLINK("https://ois.dk/map/287676/sfe", "Link")</f>
        <v>Link</v>
      </c>
      <c r="D2836" t="s">
        <v>3986</v>
      </c>
      <c r="E2836" s="17">
        <v>0.5</v>
      </c>
      <c r="F2836" t="s">
        <v>3990</v>
      </c>
      <c r="G2836">
        <v>0.5</v>
      </c>
      <c r="Q2836" s="1"/>
      <c r="R2836" s="1"/>
    </row>
    <row r="2837" spans="1:18" ht="15.75" customHeight="1" x14ac:dyDescent="0.25">
      <c r="A2837" s="2">
        <v>10055579</v>
      </c>
      <c r="B2837">
        <v>287677</v>
      </c>
      <c r="C2837" t="str">
        <f>HYPERLINK("https://ois.dk/map/287677/sfe", "Link")</f>
        <v>Link</v>
      </c>
      <c r="D2837" t="s">
        <v>3986</v>
      </c>
      <c r="E2837" s="17">
        <v>1.5</v>
      </c>
      <c r="F2837" t="s">
        <v>3991</v>
      </c>
      <c r="G2837">
        <v>0.5</v>
      </c>
      <c r="I2837">
        <v>1</v>
      </c>
      <c r="Q2837" s="1"/>
      <c r="R2837" s="1">
        <v>0.79</v>
      </c>
    </row>
    <row r="2838" spans="1:18" ht="15.75" customHeight="1" x14ac:dyDescent="0.25">
      <c r="A2838" s="2">
        <v>10055579</v>
      </c>
      <c r="B2838">
        <v>287678</v>
      </c>
      <c r="C2838" t="str">
        <f>HYPERLINK("https://ois.dk/map/287678/sfe", "Link")</f>
        <v>Link</v>
      </c>
      <c r="D2838" t="s">
        <v>3986</v>
      </c>
      <c r="E2838" s="17">
        <v>1.5</v>
      </c>
      <c r="F2838" t="s">
        <v>3992</v>
      </c>
      <c r="G2838">
        <v>0.5</v>
      </c>
      <c r="I2838">
        <v>1</v>
      </c>
      <c r="Q2838" s="1"/>
      <c r="R2838" s="1">
        <v>0.79</v>
      </c>
    </row>
    <row r="2839" spans="1:18" ht="15.75" customHeight="1" x14ac:dyDescent="0.25">
      <c r="A2839" s="2">
        <v>10055579</v>
      </c>
      <c r="B2839">
        <v>287679</v>
      </c>
      <c r="C2839" t="str">
        <f>HYPERLINK("https://ois.dk/map/287679/sfe", "Link")</f>
        <v>Link</v>
      </c>
      <c r="D2839" t="s">
        <v>3986</v>
      </c>
      <c r="E2839" s="17">
        <v>0.5</v>
      </c>
      <c r="F2839" t="s">
        <v>3993</v>
      </c>
      <c r="G2839">
        <v>0.5</v>
      </c>
      <c r="Q2839" s="1"/>
      <c r="R2839" s="1"/>
    </row>
    <row r="2840" spans="1:18" ht="15.75" customHeight="1" x14ac:dyDescent="0.25">
      <c r="A2840" s="2">
        <v>10055579</v>
      </c>
      <c r="B2840">
        <v>287680</v>
      </c>
      <c r="C2840" t="str">
        <f>HYPERLINK("https://ois.dk/map/287680/sfe", "Link")</f>
        <v>Link</v>
      </c>
      <c r="D2840" t="s">
        <v>3986</v>
      </c>
      <c r="E2840" s="17">
        <v>0.5</v>
      </c>
      <c r="F2840" t="s">
        <v>3994</v>
      </c>
      <c r="G2840">
        <v>0.5</v>
      </c>
      <c r="Q2840" s="1"/>
      <c r="R2840" s="1"/>
    </row>
    <row r="2841" spans="1:18" ht="15.75" customHeight="1" x14ac:dyDescent="0.25">
      <c r="A2841" s="2">
        <v>10055579</v>
      </c>
      <c r="B2841">
        <v>10055579</v>
      </c>
      <c r="C2841" t="str">
        <f>HYPERLINK("https://ois.dk/map/10055579/sfe", "Link")</f>
        <v>Link</v>
      </c>
      <c r="D2841" t="s">
        <v>3986</v>
      </c>
      <c r="E2841" s="17">
        <v>0.25</v>
      </c>
      <c r="F2841" t="s">
        <v>3995</v>
      </c>
      <c r="H2841">
        <v>0.25</v>
      </c>
      <c r="Q2841" s="1"/>
      <c r="R2841" s="1">
        <v>0.79</v>
      </c>
    </row>
    <row r="2842" spans="1:18" ht="15.75" customHeight="1" x14ac:dyDescent="0.25">
      <c r="A2842" s="2">
        <v>10055580</v>
      </c>
      <c r="B2842">
        <v>287681</v>
      </c>
      <c r="C2842" t="str">
        <f>HYPERLINK("https://ois.dk/map/287681/sfe", "Link")</f>
        <v>Link</v>
      </c>
      <c r="D2842" t="s">
        <v>1505</v>
      </c>
      <c r="E2842" s="17">
        <v>1.5</v>
      </c>
      <c r="F2842" t="s">
        <v>3996</v>
      </c>
      <c r="G2842">
        <v>0.5</v>
      </c>
      <c r="I2842">
        <v>1</v>
      </c>
      <c r="Q2842" s="1"/>
      <c r="R2842" s="1">
        <v>0.89</v>
      </c>
    </row>
    <row r="2843" spans="1:18" ht="15.75" customHeight="1" x14ac:dyDescent="0.25">
      <c r="A2843" s="2">
        <v>10055580</v>
      </c>
      <c r="B2843">
        <v>287682</v>
      </c>
      <c r="C2843" t="str">
        <f>HYPERLINK("https://ois.dk/map/287682/sfe", "Link")</f>
        <v>Link</v>
      </c>
      <c r="D2843" t="s">
        <v>1505</v>
      </c>
      <c r="E2843" s="17">
        <v>0.5</v>
      </c>
      <c r="F2843" t="s">
        <v>3997</v>
      </c>
      <c r="G2843">
        <v>0.5</v>
      </c>
      <c r="Q2843" s="1"/>
      <c r="R2843" s="1"/>
    </row>
    <row r="2844" spans="1:18" ht="15.75" customHeight="1" x14ac:dyDescent="0.25">
      <c r="A2844" s="2">
        <v>10055580</v>
      </c>
      <c r="B2844">
        <v>287683</v>
      </c>
      <c r="C2844" t="str">
        <f>HYPERLINK("https://ois.dk/map/287683/sfe", "Link")</f>
        <v>Link</v>
      </c>
      <c r="D2844" t="s">
        <v>1505</v>
      </c>
      <c r="E2844" s="17">
        <v>0.5</v>
      </c>
      <c r="F2844" t="s">
        <v>3998</v>
      </c>
      <c r="G2844">
        <v>0.5</v>
      </c>
      <c r="Q2844" s="1"/>
      <c r="R2844" s="1"/>
    </row>
    <row r="2845" spans="1:18" ht="15.75" customHeight="1" x14ac:dyDescent="0.25">
      <c r="A2845" s="2">
        <v>10055580</v>
      </c>
      <c r="B2845">
        <v>287684</v>
      </c>
      <c r="C2845" t="str">
        <f>HYPERLINK("https://ois.dk/map/287684/sfe", "Link")</f>
        <v>Link</v>
      </c>
      <c r="D2845" t="s">
        <v>1505</v>
      </c>
      <c r="E2845" s="17">
        <v>0.5</v>
      </c>
      <c r="F2845" t="s">
        <v>3999</v>
      </c>
      <c r="G2845">
        <v>0.5</v>
      </c>
      <c r="Q2845" s="1"/>
      <c r="R2845" s="1"/>
    </row>
    <row r="2846" spans="1:18" ht="15.75" customHeight="1" x14ac:dyDescent="0.25">
      <c r="A2846" s="2">
        <v>10055580</v>
      </c>
      <c r="B2846">
        <v>287685</v>
      </c>
      <c r="C2846" t="str">
        <f>HYPERLINK("https://ois.dk/map/287685/sfe", "Link")</f>
        <v>Link</v>
      </c>
      <c r="D2846" t="s">
        <v>1505</v>
      </c>
      <c r="E2846" s="17">
        <v>0.5</v>
      </c>
      <c r="F2846" t="s">
        <v>4000</v>
      </c>
      <c r="G2846">
        <v>0.5</v>
      </c>
      <c r="Q2846" s="1"/>
      <c r="R2846" s="1"/>
    </row>
    <row r="2847" spans="1:18" ht="15.75" customHeight="1" x14ac:dyDescent="0.25">
      <c r="A2847" s="2">
        <v>10055580</v>
      </c>
      <c r="B2847">
        <v>287686</v>
      </c>
      <c r="C2847" t="str">
        <f>HYPERLINK("https://ois.dk/map/287686/sfe", "Link")</f>
        <v>Link</v>
      </c>
      <c r="D2847" t="s">
        <v>1505</v>
      </c>
      <c r="E2847" s="17">
        <v>1.5</v>
      </c>
      <c r="F2847" t="s">
        <v>4001</v>
      </c>
      <c r="G2847">
        <v>0.5</v>
      </c>
      <c r="I2847">
        <v>1</v>
      </c>
      <c r="Q2847" s="1"/>
      <c r="R2847" s="1">
        <v>0.81</v>
      </c>
    </row>
    <row r="2848" spans="1:18" ht="15.75" customHeight="1" x14ac:dyDescent="0.25">
      <c r="A2848" s="2">
        <v>10055580</v>
      </c>
      <c r="B2848">
        <v>287687</v>
      </c>
      <c r="C2848" t="str">
        <f>HYPERLINK("https://ois.dk/map/287687/sfe", "Link")</f>
        <v>Link</v>
      </c>
      <c r="D2848" t="s">
        <v>1505</v>
      </c>
      <c r="E2848" s="17">
        <v>1.5</v>
      </c>
      <c r="F2848" t="s">
        <v>4002</v>
      </c>
      <c r="G2848">
        <v>0.5</v>
      </c>
      <c r="I2848">
        <v>1</v>
      </c>
      <c r="Q2848" s="1"/>
      <c r="R2848" s="1">
        <v>0.81</v>
      </c>
    </row>
    <row r="2849" spans="1:18" ht="15.75" x14ac:dyDescent="0.25">
      <c r="A2849" s="2">
        <v>10055580</v>
      </c>
      <c r="B2849">
        <v>287688</v>
      </c>
      <c r="C2849" t="str">
        <f>HYPERLINK("https://ois.dk/map/287688/sfe", "Link")</f>
        <v>Link</v>
      </c>
      <c r="D2849" t="s">
        <v>1505</v>
      </c>
      <c r="E2849">
        <v>0.5</v>
      </c>
      <c r="F2849" t="s">
        <v>4003</v>
      </c>
      <c r="G2849">
        <v>0.5</v>
      </c>
    </row>
    <row r="2850" spans="1:18" ht="15.75" x14ac:dyDescent="0.25">
      <c r="A2850" s="2">
        <v>10055580</v>
      </c>
      <c r="B2850">
        <v>287689</v>
      </c>
      <c r="C2850" t="str">
        <f>HYPERLINK("https://ois.dk/map/287689/sfe", "Link")</f>
        <v>Link</v>
      </c>
      <c r="D2850" t="s">
        <v>1505</v>
      </c>
      <c r="E2850">
        <v>0.5</v>
      </c>
      <c r="F2850" t="s">
        <v>4004</v>
      </c>
      <c r="G2850">
        <v>0.5</v>
      </c>
    </row>
    <row r="2851" spans="1:18" ht="15.75" x14ac:dyDescent="0.25">
      <c r="A2851" s="2">
        <v>10055580</v>
      </c>
      <c r="B2851">
        <v>287690</v>
      </c>
      <c r="C2851" t="str">
        <f>HYPERLINK("https://ois.dk/map/287690/sfe", "Link")</f>
        <v>Link</v>
      </c>
      <c r="D2851" t="s">
        <v>1505</v>
      </c>
      <c r="E2851">
        <v>1.5</v>
      </c>
      <c r="F2851" t="s">
        <v>4005</v>
      </c>
      <c r="G2851">
        <v>0.5</v>
      </c>
      <c r="I2851">
        <v>1</v>
      </c>
      <c r="R2851">
        <v>0.84</v>
      </c>
    </row>
    <row r="2852" spans="1:18" ht="15.75" x14ac:dyDescent="0.25">
      <c r="A2852" s="2">
        <v>10055580</v>
      </c>
      <c r="B2852">
        <v>287691</v>
      </c>
      <c r="C2852" t="str">
        <f>HYPERLINK("https://ois.dk/map/287691/sfe", "Link")</f>
        <v>Link</v>
      </c>
      <c r="D2852" t="s">
        <v>1505</v>
      </c>
      <c r="E2852">
        <v>1.5</v>
      </c>
      <c r="F2852" t="s">
        <v>4006</v>
      </c>
      <c r="G2852">
        <v>0.5</v>
      </c>
      <c r="I2852">
        <v>1</v>
      </c>
      <c r="R2852">
        <v>0.84</v>
      </c>
    </row>
    <row r="2853" spans="1:18" ht="15.75" x14ac:dyDescent="0.25">
      <c r="A2853" s="2">
        <v>10055580</v>
      </c>
      <c r="B2853">
        <v>10055580</v>
      </c>
      <c r="C2853" t="str">
        <f>HYPERLINK("https://ois.dk/map/10055580/sfe", "Link")</f>
        <v>Link</v>
      </c>
      <c r="D2853" t="s">
        <v>1505</v>
      </c>
      <c r="E2853">
        <v>0.25</v>
      </c>
      <c r="F2853" t="s">
        <v>4007</v>
      </c>
      <c r="H2853">
        <v>0.25</v>
      </c>
      <c r="R2853">
        <v>0.81</v>
      </c>
    </row>
    <row r="2854" spans="1:18" ht="15.75" x14ac:dyDescent="0.25">
      <c r="A2854" s="2">
        <v>10055581</v>
      </c>
      <c r="B2854">
        <v>287692</v>
      </c>
      <c r="C2854" t="str">
        <f>HYPERLINK("https://ois.dk/map/287692/sfe", "Link")</f>
        <v>Link</v>
      </c>
      <c r="D2854" t="s">
        <v>4008</v>
      </c>
      <c r="E2854">
        <v>1.5</v>
      </c>
      <c r="F2854" t="s">
        <v>4009</v>
      </c>
      <c r="G2854">
        <v>0.5</v>
      </c>
      <c r="I2854">
        <v>1</v>
      </c>
      <c r="R2854">
        <v>0.88</v>
      </c>
    </row>
    <row r="2855" spans="1:18" ht="15.75" x14ac:dyDescent="0.25">
      <c r="A2855" s="2">
        <v>10055581</v>
      </c>
      <c r="B2855">
        <v>287693</v>
      </c>
      <c r="C2855" t="str">
        <f>HYPERLINK("https://ois.dk/map/287693/sfe", "Link")</f>
        <v>Link</v>
      </c>
      <c r="D2855" t="s">
        <v>4008</v>
      </c>
      <c r="E2855">
        <v>1.5</v>
      </c>
      <c r="F2855" t="s">
        <v>4010</v>
      </c>
      <c r="G2855">
        <v>0.5</v>
      </c>
      <c r="I2855">
        <v>1</v>
      </c>
      <c r="R2855">
        <v>0.89</v>
      </c>
    </row>
    <row r="2856" spans="1:18" ht="15.75" x14ac:dyDescent="0.25">
      <c r="A2856" s="2">
        <v>10055581</v>
      </c>
      <c r="B2856">
        <v>287694</v>
      </c>
      <c r="C2856" t="str">
        <f>HYPERLINK("https://ois.dk/map/287694/sfe", "Link")</f>
        <v>Link</v>
      </c>
      <c r="D2856" t="s">
        <v>4008</v>
      </c>
      <c r="E2856">
        <v>0.5</v>
      </c>
      <c r="F2856" t="s">
        <v>4011</v>
      </c>
      <c r="G2856">
        <v>0.5</v>
      </c>
    </row>
    <row r="2857" spans="1:18" ht="15.75" x14ac:dyDescent="0.25">
      <c r="A2857" s="2">
        <v>10055581</v>
      </c>
      <c r="B2857">
        <v>287695</v>
      </c>
      <c r="C2857" t="str">
        <f>HYPERLINK("https://ois.dk/map/287695/sfe", "Link")</f>
        <v>Link</v>
      </c>
      <c r="D2857" t="s">
        <v>4008</v>
      </c>
      <c r="E2857">
        <v>0.5</v>
      </c>
      <c r="F2857" t="s">
        <v>4012</v>
      </c>
      <c r="G2857">
        <v>0.5</v>
      </c>
    </row>
    <row r="2858" spans="1:18" ht="15.75" x14ac:dyDescent="0.25">
      <c r="A2858" s="2">
        <v>10055581</v>
      </c>
      <c r="B2858">
        <v>287696</v>
      </c>
      <c r="C2858" t="str">
        <f>HYPERLINK("https://ois.dk/map/287696/sfe", "Link")</f>
        <v>Link</v>
      </c>
      <c r="D2858" t="s">
        <v>4008</v>
      </c>
      <c r="E2858">
        <v>1.5</v>
      </c>
      <c r="F2858" t="s">
        <v>4013</v>
      </c>
      <c r="G2858">
        <v>0.5</v>
      </c>
      <c r="I2858">
        <v>1</v>
      </c>
      <c r="R2858">
        <v>0.88</v>
      </c>
    </row>
    <row r="2859" spans="1:18" ht="15.75" x14ac:dyDescent="0.25">
      <c r="A2859" s="2">
        <v>10055581</v>
      </c>
      <c r="B2859">
        <v>287697</v>
      </c>
      <c r="C2859" t="str">
        <f>HYPERLINK("https://ois.dk/map/287697/sfe", "Link")</f>
        <v>Link</v>
      </c>
      <c r="D2859" t="s">
        <v>4008</v>
      </c>
      <c r="E2859">
        <v>0.5</v>
      </c>
      <c r="F2859" t="s">
        <v>4014</v>
      </c>
      <c r="G2859">
        <v>0.5</v>
      </c>
    </row>
    <row r="2860" spans="1:18" ht="15.75" x14ac:dyDescent="0.25">
      <c r="A2860" s="2">
        <v>10055581</v>
      </c>
      <c r="B2860">
        <v>287698</v>
      </c>
      <c r="C2860" t="str">
        <f>HYPERLINK("https://ois.dk/map/287698/sfe", "Link")</f>
        <v>Link</v>
      </c>
      <c r="D2860" t="s">
        <v>4008</v>
      </c>
      <c r="E2860">
        <v>0.5</v>
      </c>
      <c r="F2860" t="s">
        <v>4015</v>
      </c>
      <c r="G2860">
        <v>0.5</v>
      </c>
    </row>
    <row r="2861" spans="1:18" ht="15.75" x14ac:dyDescent="0.25">
      <c r="A2861" s="2">
        <v>10055581</v>
      </c>
      <c r="B2861">
        <v>287699</v>
      </c>
      <c r="C2861" t="str">
        <f>HYPERLINK("https://ois.dk/map/287699/sfe", "Link")</f>
        <v>Link</v>
      </c>
      <c r="D2861" t="s">
        <v>4008</v>
      </c>
      <c r="E2861">
        <v>1.5</v>
      </c>
      <c r="F2861" t="s">
        <v>4016</v>
      </c>
      <c r="G2861">
        <v>0.5</v>
      </c>
      <c r="I2861">
        <v>1</v>
      </c>
      <c r="R2861">
        <v>0.85</v>
      </c>
    </row>
    <row r="2862" spans="1:18" ht="15.75" x14ac:dyDescent="0.25">
      <c r="A2862" s="2">
        <v>10055581</v>
      </c>
      <c r="B2862">
        <v>287700</v>
      </c>
      <c r="C2862" t="str">
        <f>HYPERLINK("https://ois.dk/map/287700/sfe", "Link")</f>
        <v>Link</v>
      </c>
      <c r="D2862" t="s">
        <v>4008</v>
      </c>
      <c r="E2862">
        <v>1.5</v>
      </c>
      <c r="F2862" t="s">
        <v>4017</v>
      </c>
      <c r="G2862">
        <v>0.5</v>
      </c>
      <c r="I2862">
        <v>1</v>
      </c>
      <c r="R2862">
        <v>0.85</v>
      </c>
    </row>
    <row r="2863" spans="1:18" ht="15.75" x14ac:dyDescent="0.25">
      <c r="A2863" s="2">
        <v>10055581</v>
      </c>
      <c r="B2863">
        <v>287701</v>
      </c>
      <c r="C2863" t="str">
        <f>HYPERLINK("https://ois.dk/map/287701/sfe", "Link")</f>
        <v>Link</v>
      </c>
      <c r="D2863" t="s">
        <v>4008</v>
      </c>
      <c r="E2863">
        <v>0.5</v>
      </c>
      <c r="F2863" t="s">
        <v>4018</v>
      </c>
      <c r="G2863">
        <v>0.5</v>
      </c>
    </row>
    <row r="2864" spans="1:18" ht="15.75" x14ac:dyDescent="0.25">
      <c r="A2864" s="2">
        <v>10055581</v>
      </c>
      <c r="B2864">
        <v>287702</v>
      </c>
      <c r="C2864" t="str">
        <f>HYPERLINK("https://ois.dk/map/287702/sfe", "Link")</f>
        <v>Link</v>
      </c>
      <c r="D2864" t="s">
        <v>4008</v>
      </c>
      <c r="E2864">
        <v>0.5</v>
      </c>
      <c r="F2864" t="s">
        <v>4019</v>
      </c>
      <c r="G2864">
        <v>0.5</v>
      </c>
    </row>
    <row r="2865" spans="1:18" ht="15.75" x14ac:dyDescent="0.25">
      <c r="A2865" s="2">
        <v>10055581</v>
      </c>
      <c r="B2865">
        <v>287703</v>
      </c>
      <c r="C2865" t="str">
        <f>HYPERLINK("https://ois.dk/map/287703/sfe", "Link")</f>
        <v>Link</v>
      </c>
      <c r="D2865" t="s">
        <v>4008</v>
      </c>
      <c r="E2865">
        <v>1.5</v>
      </c>
      <c r="F2865" t="s">
        <v>4020</v>
      </c>
      <c r="G2865">
        <v>0.5</v>
      </c>
      <c r="I2865">
        <v>1</v>
      </c>
      <c r="R2865">
        <v>0.89</v>
      </c>
    </row>
    <row r="2866" spans="1:18" ht="15.75" x14ac:dyDescent="0.25">
      <c r="A2866" s="2">
        <v>10055581</v>
      </c>
      <c r="B2866">
        <v>10055581</v>
      </c>
      <c r="C2866" t="str">
        <f>HYPERLINK("https://ois.dk/map/10055581/sfe", "Link")</f>
        <v>Link</v>
      </c>
      <c r="D2866" t="s">
        <v>4008</v>
      </c>
      <c r="E2866">
        <v>0.25</v>
      </c>
      <c r="F2866" t="s">
        <v>4021</v>
      </c>
      <c r="H2866">
        <v>0.25</v>
      </c>
      <c r="R2866">
        <v>0.85</v>
      </c>
    </row>
    <row r="2867" spans="1:18" ht="15.75" x14ac:dyDescent="0.25">
      <c r="A2867" s="2">
        <v>10055582</v>
      </c>
      <c r="B2867">
        <v>287704</v>
      </c>
      <c r="C2867" t="str">
        <f>HYPERLINK("https://ois.dk/map/287704/sfe", "Link")</f>
        <v>Link</v>
      </c>
      <c r="D2867" t="s">
        <v>4022</v>
      </c>
      <c r="E2867">
        <v>1.5</v>
      </c>
      <c r="F2867" t="s">
        <v>4023</v>
      </c>
      <c r="G2867">
        <v>0.5</v>
      </c>
      <c r="I2867">
        <v>1</v>
      </c>
      <c r="R2867">
        <v>0.83</v>
      </c>
    </row>
    <row r="2868" spans="1:18" ht="15.75" x14ac:dyDescent="0.25">
      <c r="A2868" s="2">
        <v>10055582</v>
      </c>
      <c r="B2868">
        <v>287705</v>
      </c>
      <c r="C2868" t="str">
        <f>HYPERLINK("https://ois.dk/map/287705/sfe", "Link")</f>
        <v>Link</v>
      </c>
      <c r="D2868" t="s">
        <v>4022</v>
      </c>
      <c r="E2868">
        <v>0.5</v>
      </c>
      <c r="F2868" t="s">
        <v>4024</v>
      </c>
      <c r="G2868">
        <v>0.5</v>
      </c>
    </row>
    <row r="2869" spans="1:18" ht="15.75" x14ac:dyDescent="0.25">
      <c r="A2869" s="2">
        <v>10055582</v>
      </c>
      <c r="B2869">
        <v>287706</v>
      </c>
      <c r="C2869" t="str">
        <f>HYPERLINK("https://ois.dk/map/287706/sfe", "Link")</f>
        <v>Link</v>
      </c>
      <c r="D2869" t="s">
        <v>4022</v>
      </c>
      <c r="E2869">
        <v>0.5</v>
      </c>
      <c r="F2869" t="s">
        <v>4025</v>
      </c>
      <c r="G2869">
        <v>0.5</v>
      </c>
    </row>
    <row r="2870" spans="1:18" ht="15.75" x14ac:dyDescent="0.25">
      <c r="A2870" s="2">
        <v>10055582</v>
      </c>
      <c r="B2870">
        <v>287707</v>
      </c>
      <c r="C2870" t="str">
        <f>HYPERLINK("https://ois.dk/map/287707/sfe", "Link")</f>
        <v>Link</v>
      </c>
      <c r="D2870" t="s">
        <v>4022</v>
      </c>
      <c r="E2870">
        <v>0.5</v>
      </c>
      <c r="F2870" t="s">
        <v>4026</v>
      </c>
      <c r="G2870">
        <v>0.5</v>
      </c>
    </row>
    <row r="2871" spans="1:18" ht="15.75" x14ac:dyDescent="0.25">
      <c r="A2871" s="2">
        <v>10055582</v>
      </c>
      <c r="B2871">
        <v>287708</v>
      </c>
      <c r="C2871" t="str">
        <f>HYPERLINK("https://ois.dk/map/287708/sfe", "Link")</f>
        <v>Link</v>
      </c>
      <c r="D2871" t="s">
        <v>4022</v>
      </c>
      <c r="E2871">
        <v>1.5</v>
      </c>
      <c r="F2871" t="s">
        <v>4027</v>
      </c>
      <c r="G2871">
        <v>0.5</v>
      </c>
      <c r="I2871">
        <v>1</v>
      </c>
      <c r="R2871">
        <v>0.92</v>
      </c>
    </row>
    <row r="2872" spans="1:18" ht="15.75" x14ac:dyDescent="0.25">
      <c r="A2872" s="2">
        <v>10055582</v>
      </c>
      <c r="B2872">
        <v>287709</v>
      </c>
      <c r="C2872" t="str">
        <f>HYPERLINK("https://ois.dk/map/287709/sfe", "Link")</f>
        <v>Link</v>
      </c>
      <c r="D2872" t="s">
        <v>4022</v>
      </c>
      <c r="E2872">
        <v>1.5</v>
      </c>
      <c r="F2872" t="s">
        <v>4028</v>
      </c>
      <c r="G2872">
        <v>0.5</v>
      </c>
      <c r="I2872">
        <v>1</v>
      </c>
      <c r="R2872">
        <v>0.92</v>
      </c>
    </row>
    <row r="2873" spans="1:18" ht="15.75" x14ac:dyDescent="0.25">
      <c r="A2873" s="2">
        <v>10055582</v>
      </c>
      <c r="B2873">
        <v>287710</v>
      </c>
      <c r="C2873" t="str">
        <f>HYPERLINK("https://ois.dk/map/287710/sfe", "Link")</f>
        <v>Link</v>
      </c>
      <c r="D2873" t="s">
        <v>4022</v>
      </c>
      <c r="E2873">
        <v>0.5</v>
      </c>
      <c r="F2873" t="s">
        <v>4029</v>
      </c>
      <c r="G2873">
        <v>0.5</v>
      </c>
    </row>
    <row r="2874" spans="1:18" ht="15.75" x14ac:dyDescent="0.25">
      <c r="A2874" s="2">
        <v>10055582</v>
      </c>
      <c r="B2874">
        <v>287711</v>
      </c>
      <c r="C2874" t="str">
        <f>HYPERLINK("https://ois.dk/map/287711/sfe", "Link")</f>
        <v>Link</v>
      </c>
      <c r="D2874" t="s">
        <v>4022</v>
      </c>
      <c r="E2874">
        <v>0.5</v>
      </c>
      <c r="F2874" t="s">
        <v>4030</v>
      </c>
      <c r="G2874">
        <v>0.5</v>
      </c>
    </row>
    <row r="2875" spans="1:18" ht="15.75" x14ac:dyDescent="0.25">
      <c r="A2875" s="2">
        <v>10055582</v>
      </c>
      <c r="B2875">
        <v>288055</v>
      </c>
      <c r="C2875" t="str">
        <f>HYPERLINK("https://ois.dk/map/288055/sfe", "Link")</f>
        <v>Link</v>
      </c>
      <c r="D2875" t="s">
        <v>4022</v>
      </c>
      <c r="E2875">
        <v>1.5</v>
      </c>
      <c r="F2875" t="s">
        <v>4031</v>
      </c>
      <c r="G2875">
        <v>0.5</v>
      </c>
      <c r="I2875">
        <v>1</v>
      </c>
      <c r="R2875">
        <v>0.88</v>
      </c>
    </row>
    <row r="2876" spans="1:18" ht="15.75" x14ac:dyDescent="0.25">
      <c r="A2876" s="2">
        <v>10055582</v>
      </c>
      <c r="B2876">
        <v>288056</v>
      </c>
      <c r="C2876" t="str">
        <f>HYPERLINK("https://ois.dk/map/288056/sfe", "Link")</f>
        <v>Link</v>
      </c>
      <c r="D2876" t="s">
        <v>4022</v>
      </c>
      <c r="E2876">
        <v>0.5</v>
      </c>
      <c r="F2876" t="s">
        <v>4032</v>
      </c>
      <c r="G2876">
        <v>0.5</v>
      </c>
    </row>
    <row r="2877" spans="1:18" ht="15.75" x14ac:dyDescent="0.25">
      <c r="A2877" s="2">
        <v>10055582</v>
      </c>
      <c r="B2877">
        <v>10055582</v>
      </c>
      <c r="C2877" t="str">
        <f>HYPERLINK("https://ois.dk/map/10055582/sfe", "Link")</f>
        <v>Link</v>
      </c>
      <c r="D2877" t="s">
        <v>4022</v>
      </c>
      <c r="E2877">
        <v>0.25</v>
      </c>
      <c r="F2877" t="s">
        <v>4033</v>
      </c>
      <c r="H2877">
        <v>0.25</v>
      </c>
      <c r="R2877">
        <v>0.83</v>
      </c>
    </row>
    <row r="2878" spans="1:18" ht="15.75" x14ac:dyDescent="0.25">
      <c r="A2878" s="2">
        <v>10055583</v>
      </c>
      <c r="B2878">
        <v>288057</v>
      </c>
      <c r="C2878" t="str">
        <f>HYPERLINK("https://ois.dk/map/288057/sfe", "Link")</f>
        <v>Link</v>
      </c>
      <c r="D2878" t="s">
        <v>1507</v>
      </c>
      <c r="E2878">
        <v>1.5</v>
      </c>
      <c r="F2878" t="s">
        <v>4034</v>
      </c>
      <c r="G2878">
        <v>0.5</v>
      </c>
      <c r="I2878">
        <v>1</v>
      </c>
      <c r="R2878">
        <v>0.83</v>
      </c>
    </row>
    <row r="2879" spans="1:18" ht="15.75" x14ac:dyDescent="0.25">
      <c r="A2879" s="2">
        <v>10055583</v>
      </c>
      <c r="B2879">
        <v>288058</v>
      </c>
      <c r="C2879" t="str">
        <f>HYPERLINK("https://ois.dk/map/288058/sfe", "Link")</f>
        <v>Link</v>
      </c>
      <c r="D2879" t="s">
        <v>1507</v>
      </c>
      <c r="E2879">
        <v>0.5</v>
      </c>
      <c r="F2879" t="s">
        <v>4035</v>
      </c>
      <c r="G2879">
        <v>0.5</v>
      </c>
    </row>
    <row r="2880" spans="1:18" ht="15.75" x14ac:dyDescent="0.25">
      <c r="A2880" s="2">
        <v>10055583</v>
      </c>
      <c r="B2880">
        <v>288059</v>
      </c>
      <c r="C2880" t="str">
        <f>HYPERLINK("https://ois.dk/map/288059/sfe", "Link")</f>
        <v>Link</v>
      </c>
      <c r="D2880" t="s">
        <v>1507</v>
      </c>
      <c r="E2880">
        <v>0.5</v>
      </c>
      <c r="F2880" t="s">
        <v>4036</v>
      </c>
      <c r="G2880">
        <v>0.5</v>
      </c>
    </row>
    <row r="2881" spans="1:18" ht="15.75" x14ac:dyDescent="0.25">
      <c r="A2881" s="2">
        <v>10055583</v>
      </c>
      <c r="B2881">
        <v>288060</v>
      </c>
      <c r="C2881" t="str">
        <f>HYPERLINK("https://ois.dk/map/288060/sfe", "Link")</f>
        <v>Link</v>
      </c>
      <c r="D2881" t="s">
        <v>1507</v>
      </c>
      <c r="E2881">
        <v>1.5</v>
      </c>
      <c r="F2881" t="s">
        <v>4037</v>
      </c>
      <c r="G2881">
        <v>0.5</v>
      </c>
      <c r="I2881">
        <v>1</v>
      </c>
      <c r="R2881">
        <v>0.83</v>
      </c>
    </row>
    <row r="2882" spans="1:18" ht="15.75" x14ac:dyDescent="0.25">
      <c r="A2882" s="2">
        <v>10055583</v>
      </c>
      <c r="B2882">
        <v>288061</v>
      </c>
      <c r="C2882" t="str">
        <f>HYPERLINK("https://ois.dk/map/288061/sfe", "Link")</f>
        <v>Link</v>
      </c>
      <c r="D2882" t="s">
        <v>1507</v>
      </c>
      <c r="E2882">
        <v>1.5</v>
      </c>
      <c r="F2882" t="s">
        <v>4038</v>
      </c>
      <c r="G2882">
        <v>0.5</v>
      </c>
      <c r="I2882">
        <v>1</v>
      </c>
      <c r="R2882">
        <v>0.83</v>
      </c>
    </row>
    <row r="2883" spans="1:18" ht="15.75" x14ac:dyDescent="0.25">
      <c r="A2883" s="2">
        <v>10055583</v>
      </c>
      <c r="B2883">
        <v>288062</v>
      </c>
      <c r="C2883" t="str">
        <f>HYPERLINK("https://ois.dk/map/288062/sfe", "Link")</f>
        <v>Link</v>
      </c>
      <c r="D2883" t="s">
        <v>1507</v>
      </c>
      <c r="E2883">
        <v>0.5</v>
      </c>
      <c r="F2883" t="s">
        <v>4039</v>
      </c>
      <c r="G2883">
        <v>0.5</v>
      </c>
    </row>
    <row r="2884" spans="1:18" ht="15.75" x14ac:dyDescent="0.25">
      <c r="A2884" s="2">
        <v>10055583</v>
      </c>
      <c r="B2884">
        <v>288063</v>
      </c>
      <c r="C2884" t="str">
        <f>HYPERLINK("https://ois.dk/map/288063/sfe", "Link")</f>
        <v>Link</v>
      </c>
      <c r="D2884" t="s">
        <v>1507</v>
      </c>
      <c r="E2884">
        <v>0.5</v>
      </c>
      <c r="F2884" t="s">
        <v>4040</v>
      </c>
      <c r="G2884">
        <v>0.5</v>
      </c>
    </row>
    <row r="2885" spans="1:18" ht="15.75" x14ac:dyDescent="0.25">
      <c r="A2885" s="2">
        <v>10055583</v>
      </c>
      <c r="B2885">
        <v>288064</v>
      </c>
      <c r="C2885" t="str">
        <f>HYPERLINK("https://ois.dk/map/288064/sfe", "Link")</f>
        <v>Link</v>
      </c>
      <c r="D2885" t="s">
        <v>1507</v>
      </c>
      <c r="E2885">
        <v>1.5</v>
      </c>
      <c r="F2885" t="s">
        <v>4041</v>
      </c>
      <c r="G2885">
        <v>0.5</v>
      </c>
      <c r="I2885">
        <v>1</v>
      </c>
      <c r="R2885">
        <v>0.83</v>
      </c>
    </row>
    <row r="2886" spans="1:18" ht="15.75" x14ac:dyDescent="0.25">
      <c r="A2886" s="2">
        <v>10055583</v>
      </c>
      <c r="B2886">
        <v>288065</v>
      </c>
      <c r="C2886" t="str">
        <f>HYPERLINK("https://ois.dk/map/288065/sfe", "Link")</f>
        <v>Link</v>
      </c>
      <c r="D2886" t="s">
        <v>1507</v>
      </c>
      <c r="E2886">
        <v>0.5</v>
      </c>
      <c r="F2886" t="s">
        <v>4042</v>
      </c>
      <c r="G2886">
        <v>0.5</v>
      </c>
    </row>
    <row r="2887" spans="1:18" ht="15.75" x14ac:dyDescent="0.25">
      <c r="A2887" s="2">
        <v>10055583</v>
      </c>
      <c r="B2887">
        <v>288066</v>
      </c>
      <c r="C2887" t="str">
        <f>HYPERLINK("https://ois.dk/map/288066/sfe", "Link")</f>
        <v>Link</v>
      </c>
      <c r="D2887" t="s">
        <v>1507</v>
      </c>
      <c r="E2887">
        <v>0.5</v>
      </c>
      <c r="F2887" t="s">
        <v>4043</v>
      </c>
      <c r="G2887">
        <v>0.5</v>
      </c>
    </row>
    <row r="2888" spans="1:18" ht="15.75" x14ac:dyDescent="0.25">
      <c r="A2888" s="2">
        <v>10055583</v>
      </c>
      <c r="B2888">
        <v>288067</v>
      </c>
      <c r="C2888" t="str">
        <f>HYPERLINK("https://ois.dk/map/288067/sfe", "Link")</f>
        <v>Link</v>
      </c>
      <c r="D2888" t="s">
        <v>1507</v>
      </c>
      <c r="E2888">
        <v>1.5</v>
      </c>
      <c r="F2888" t="s">
        <v>4044</v>
      </c>
      <c r="G2888">
        <v>0.5</v>
      </c>
      <c r="I2888">
        <v>1</v>
      </c>
      <c r="R2888">
        <v>0.96</v>
      </c>
    </row>
    <row r="2889" spans="1:18" ht="15.75" x14ac:dyDescent="0.25">
      <c r="A2889" s="2">
        <v>10055583</v>
      </c>
      <c r="B2889">
        <v>288068</v>
      </c>
      <c r="C2889" t="str">
        <f>HYPERLINK("https://ois.dk/map/288068/sfe", "Link")</f>
        <v>Link</v>
      </c>
      <c r="D2889" t="s">
        <v>1507</v>
      </c>
      <c r="E2889">
        <v>0.5</v>
      </c>
      <c r="F2889" t="s">
        <v>4045</v>
      </c>
      <c r="G2889">
        <v>0.5</v>
      </c>
    </row>
    <row r="2890" spans="1:18" ht="15.75" x14ac:dyDescent="0.25">
      <c r="A2890" s="2">
        <v>10055583</v>
      </c>
      <c r="B2890">
        <v>288069</v>
      </c>
      <c r="C2890" t="str">
        <f>HYPERLINK("https://ois.dk/map/288069/sfe", "Link")</f>
        <v>Link</v>
      </c>
      <c r="D2890" t="s">
        <v>1507</v>
      </c>
      <c r="E2890">
        <v>0.5</v>
      </c>
      <c r="F2890" t="s">
        <v>4046</v>
      </c>
      <c r="G2890">
        <v>0.5</v>
      </c>
    </row>
    <row r="2891" spans="1:18" ht="15.75" x14ac:dyDescent="0.25">
      <c r="A2891" s="2">
        <v>10055583</v>
      </c>
      <c r="B2891">
        <v>288070</v>
      </c>
      <c r="C2891" t="str">
        <f>HYPERLINK("https://ois.dk/map/288070/sfe", "Link")</f>
        <v>Link</v>
      </c>
      <c r="D2891" t="s">
        <v>1507</v>
      </c>
      <c r="E2891">
        <v>1.5</v>
      </c>
      <c r="F2891" t="s">
        <v>4047</v>
      </c>
      <c r="G2891">
        <v>0.5</v>
      </c>
      <c r="I2891">
        <v>1</v>
      </c>
      <c r="R2891">
        <v>0.86</v>
      </c>
    </row>
    <row r="2892" spans="1:18" ht="15.75" x14ac:dyDescent="0.25">
      <c r="A2892" s="2">
        <v>10055583</v>
      </c>
      <c r="B2892">
        <v>288071</v>
      </c>
      <c r="C2892" t="str">
        <f>HYPERLINK("https://ois.dk/map/288071/sfe", "Link")</f>
        <v>Link</v>
      </c>
      <c r="D2892" t="s">
        <v>1507</v>
      </c>
      <c r="E2892">
        <v>1.5</v>
      </c>
      <c r="F2892" t="s">
        <v>4048</v>
      </c>
      <c r="G2892">
        <v>0.5</v>
      </c>
      <c r="I2892">
        <v>1</v>
      </c>
      <c r="R2892">
        <v>0.86</v>
      </c>
    </row>
    <row r="2893" spans="1:18" ht="15.75" x14ac:dyDescent="0.25">
      <c r="A2893" s="2">
        <v>10055583</v>
      </c>
      <c r="B2893">
        <v>10055583</v>
      </c>
      <c r="C2893" t="str">
        <f>HYPERLINK("https://ois.dk/map/10055583/sfe", "Link")</f>
        <v>Link</v>
      </c>
      <c r="D2893" t="s">
        <v>1507</v>
      </c>
      <c r="E2893">
        <v>0.25</v>
      </c>
      <c r="F2893" t="s">
        <v>4049</v>
      </c>
      <c r="H2893">
        <v>0.25</v>
      </c>
      <c r="R2893">
        <v>0.83</v>
      </c>
    </row>
    <row r="2894" spans="1:18" ht="15.75" x14ac:dyDescent="0.25">
      <c r="A2894" s="2">
        <v>10055584</v>
      </c>
      <c r="B2894">
        <v>288072</v>
      </c>
      <c r="C2894" t="str">
        <f>HYPERLINK("https://ois.dk/map/288072/sfe", "Link")</f>
        <v>Link</v>
      </c>
      <c r="D2894" t="s">
        <v>1509</v>
      </c>
      <c r="E2894">
        <v>1.5</v>
      </c>
      <c r="F2894" t="s">
        <v>4050</v>
      </c>
      <c r="G2894">
        <v>0.5</v>
      </c>
      <c r="I2894">
        <v>1</v>
      </c>
      <c r="R2894">
        <v>0.87</v>
      </c>
    </row>
    <row r="2895" spans="1:18" ht="15.75" x14ac:dyDescent="0.25">
      <c r="A2895" s="2">
        <v>10055584</v>
      </c>
      <c r="B2895">
        <v>288073</v>
      </c>
      <c r="C2895" t="str">
        <f>HYPERLINK("https://ois.dk/map/288073/sfe", "Link")</f>
        <v>Link</v>
      </c>
      <c r="D2895" t="s">
        <v>1509</v>
      </c>
      <c r="E2895">
        <v>0.5</v>
      </c>
      <c r="F2895" t="s">
        <v>4051</v>
      </c>
      <c r="G2895">
        <v>0.5</v>
      </c>
    </row>
    <row r="2896" spans="1:18" ht="15.75" x14ac:dyDescent="0.25">
      <c r="A2896" s="2">
        <v>10055584</v>
      </c>
      <c r="B2896">
        <v>288074</v>
      </c>
      <c r="C2896" t="str">
        <f>HYPERLINK("https://ois.dk/map/288074/sfe", "Link")</f>
        <v>Link</v>
      </c>
      <c r="D2896" t="s">
        <v>1509</v>
      </c>
      <c r="E2896">
        <v>0.5</v>
      </c>
      <c r="F2896" t="s">
        <v>4052</v>
      </c>
      <c r="G2896">
        <v>0.5</v>
      </c>
    </row>
    <row r="2897" spans="1:18" ht="15.75" x14ac:dyDescent="0.25">
      <c r="A2897" s="2">
        <v>10055584</v>
      </c>
      <c r="B2897">
        <v>288075</v>
      </c>
      <c r="C2897" t="str">
        <f>HYPERLINK("https://ois.dk/map/288075/sfe", "Link")</f>
        <v>Link</v>
      </c>
      <c r="D2897" t="s">
        <v>1509</v>
      </c>
      <c r="E2897">
        <v>1.5</v>
      </c>
      <c r="F2897" t="s">
        <v>4053</v>
      </c>
      <c r="G2897">
        <v>0.5</v>
      </c>
      <c r="I2897">
        <v>1</v>
      </c>
      <c r="R2897">
        <v>0.89</v>
      </c>
    </row>
    <row r="2898" spans="1:18" ht="15.75" x14ac:dyDescent="0.25">
      <c r="A2898" s="2">
        <v>10055584</v>
      </c>
      <c r="B2898">
        <v>288076</v>
      </c>
      <c r="C2898" t="str">
        <f>HYPERLINK("https://ois.dk/map/288076/sfe", "Link")</f>
        <v>Link</v>
      </c>
      <c r="D2898" t="s">
        <v>1509</v>
      </c>
      <c r="E2898">
        <v>1.5</v>
      </c>
      <c r="F2898" t="s">
        <v>4054</v>
      </c>
      <c r="G2898">
        <v>0.5</v>
      </c>
      <c r="I2898">
        <v>1</v>
      </c>
      <c r="R2898">
        <v>0.89</v>
      </c>
    </row>
    <row r="2899" spans="1:18" ht="15.75" x14ac:dyDescent="0.25">
      <c r="A2899" s="2">
        <v>10055584</v>
      </c>
      <c r="B2899">
        <v>288077</v>
      </c>
      <c r="C2899" t="str">
        <f>HYPERLINK("https://ois.dk/map/288077/sfe", "Link")</f>
        <v>Link</v>
      </c>
      <c r="D2899" t="s">
        <v>1509</v>
      </c>
      <c r="E2899">
        <v>0.5</v>
      </c>
      <c r="F2899" t="s">
        <v>4055</v>
      </c>
      <c r="G2899">
        <v>0.5</v>
      </c>
    </row>
    <row r="2900" spans="1:18" ht="15.75" x14ac:dyDescent="0.25">
      <c r="A2900" s="2">
        <v>10055584</v>
      </c>
      <c r="B2900">
        <v>288078</v>
      </c>
      <c r="C2900" t="str">
        <f>HYPERLINK("https://ois.dk/map/288078/sfe", "Link")</f>
        <v>Link</v>
      </c>
      <c r="D2900" t="s">
        <v>1509</v>
      </c>
      <c r="E2900">
        <v>0.5</v>
      </c>
      <c r="F2900" t="s">
        <v>4056</v>
      </c>
      <c r="G2900">
        <v>0.5</v>
      </c>
    </row>
    <row r="2901" spans="1:18" ht="15.75" x14ac:dyDescent="0.25">
      <c r="A2901" s="2">
        <v>10055584</v>
      </c>
      <c r="B2901">
        <v>10055584</v>
      </c>
      <c r="C2901" t="str">
        <f>HYPERLINK("https://ois.dk/map/10055584/sfe", "Link")</f>
        <v>Link</v>
      </c>
      <c r="D2901" t="s">
        <v>1509</v>
      </c>
      <c r="E2901">
        <v>0.25</v>
      </c>
      <c r="F2901" t="s">
        <v>4057</v>
      </c>
      <c r="H2901">
        <v>0.25</v>
      </c>
      <c r="R2901">
        <v>0.87</v>
      </c>
    </row>
    <row r="2902" spans="1:18" ht="15.75" x14ac:dyDescent="0.25">
      <c r="A2902" s="2">
        <v>10055585</v>
      </c>
      <c r="B2902">
        <v>288079</v>
      </c>
      <c r="C2902" t="str">
        <f>HYPERLINK("https://ois.dk/map/288079/sfe", "Link")</f>
        <v>Link</v>
      </c>
      <c r="D2902" t="s">
        <v>1511</v>
      </c>
      <c r="E2902">
        <v>1.5</v>
      </c>
      <c r="F2902" t="s">
        <v>4058</v>
      </c>
      <c r="G2902">
        <v>0.5</v>
      </c>
      <c r="I2902">
        <v>1</v>
      </c>
      <c r="R2902">
        <v>0.89</v>
      </c>
    </row>
    <row r="2903" spans="1:18" ht="15.75" x14ac:dyDescent="0.25">
      <c r="A2903" s="2">
        <v>10055585</v>
      </c>
      <c r="B2903">
        <v>288080</v>
      </c>
      <c r="C2903" t="str">
        <f>HYPERLINK("https://ois.dk/map/288080/sfe", "Link")</f>
        <v>Link</v>
      </c>
      <c r="D2903" t="s">
        <v>1511</v>
      </c>
      <c r="E2903">
        <v>0.5</v>
      </c>
      <c r="F2903" t="s">
        <v>4059</v>
      </c>
      <c r="G2903">
        <v>0.5</v>
      </c>
    </row>
    <row r="2904" spans="1:18" ht="15.75" x14ac:dyDescent="0.25">
      <c r="A2904" s="2">
        <v>10055585</v>
      </c>
      <c r="B2904">
        <v>288081</v>
      </c>
      <c r="C2904" t="str">
        <f>HYPERLINK("https://ois.dk/map/288081/sfe", "Link")</f>
        <v>Link</v>
      </c>
      <c r="D2904" t="s">
        <v>1511</v>
      </c>
      <c r="E2904">
        <v>0.5</v>
      </c>
      <c r="F2904" t="s">
        <v>4060</v>
      </c>
      <c r="G2904">
        <v>0.5</v>
      </c>
    </row>
    <row r="2905" spans="1:18" ht="15.75" x14ac:dyDescent="0.25">
      <c r="A2905" s="2">
        <v>10055585</v>
      </c>
      <c r="B2905">
        <v>288082</v>
      </c>
      <c r="C2905" t="str">
        <f>HYPERLINK("https://ois.dk/map/288082/sfe", "Link")</f>
        <v>Link</v>
      </c>
      <c r="D2905" t="s">
        <v>1511</v>
      </c>
      <c r="E2905">
        <v>1.5</v>
      </c>
      <c r="F2905" t="s">
        <v>4061</v>
      </c>
      <c r="G2905">
        <v>0.5</v>
      </c>
      <c r="I2905">
        <v>1</v>
      </c>
      <c r="R2905">
        <v>0.8</v>
      </c>
    </row>
    <row r="2906" spans="1:18" ht="15.75" x14ac:dyDescent="0.25">
      <c r="A2906" s="2">
        <v>10055585</v>
      </c>
      <c r="B2906">
        <v>288083</v>
      </c>
      <c r="C2906" t="str">
        <f>HYPERLINK("https://ois.dk/map/288083/sfe", "Link")</f>
        <v>Link</v>
      </c>
      <c r="D2906" t="s">
        <v>1511</v>
      </c>
      <c r="E2906">
        <v>1.5</v>
      </c>
      <c r="F2906" t="s">
        <v>4062</v>
      </c>
      <c r="G2906">
        <v>0.5</v>
      </c>
      <c r="I2906">
        <v>1</v>
      </c>
      <c r="R2906">
        <v>0.8</v>
      </c>
    </row>
    <row r="2907" spans="1:18" ht="15.75" x14ac:dyDescent="0.25">
      <c r="A2907" s="2">
        <v>10055585</v>
      </c>
      <c r="B2907">
        <v>288084</v>
      </c>
      <c r="C2907" t="str">
        <f>HYPERLINK("https://ois.dk/map/288084/sfe", "Link")</f>
        <v>Link</v>
      </c>
      <c r="D2907" t="s">
        <v>1511</v>
      </c>
      <c r="E2907">
        <v>0.5</v>
      </c>
      <c r="F2907" t="s">
        <v>4063</v>
      </c>
      <c r="G2907">
        <v>0.5</v>
      </c>
    </row>
    <row r="2908" spans="1:18" ht="15.75" x14ac:dyDescent="0.25">
      <c r="A2908" s="2">
        <v>10055585</v>
      </c>
      <c r="B2908">
        <v>288085</v>
      </c>
      <c r="C2908" t="str">
        <f>HYPERLINK("https://ois.dk/map/288085/sfe", "Link")</f>
        <v>Link</v>
      </c>
      <c r="D2908" t="s">
        <v>1511</v>
      </c>
      <c r="E2908">
        <v>0.5</v>
      </c>
      <c r="F2908" t="s">
        <v>4064</v>
      </c>
      <c r="G2908">
        <v>0.5</v>
      </c>
    </row>
    <row r="2909" spans="1:18" ht="15.75" x14ac:dyDescent="0.25">
      <c r="A2909" s="2">
        <v>10055585</v>
      </c>
      <c r="B2909">
        <v>10055585</v>
      </c>
      <c r="C2909" t="str">
        <f>HYPERLINK("https://ois.dk/map/10055585/sfe", "Link")</f>
        <v>Link</v>
      </c>
      <c r="D2909" t="s">
        <v>1511</v>
      </c>
      <c r="E2909">
        <v>0.25</v>
      </c>
      <c r="F2909" t="s">
        <v>4065</v>
      </c>
      <c r="H2909">
        <v>0.25</v>
      </c>
      <c r="R2909">
        <v>0.8</v>
      </c>
    </row>
    <row r="2910" spans="1:18" ht="15.75" x14ac:dyDescent="0.25">
      <c r="A2910" s="2">
        <v>10055586</v>
      </c>
      <c r="B2910">
        <v>288086</v>
      </c>
      <c r="C2910" t="str">
        <f>HYPERLINK("https://ois.dk/map/288086/sfe", "Link")</f>
        <v>Link</v>
      </c>
      <c r="D2910" t="s">
        <v>1513</v>
      </c>
      <c r="E2910">
        <v>1.5</v>
      </c>
      <c r="F2910" t="s">
        <v>4066</v>
      </c>
      <c r="G2910">
        <v>0.5</v>
      </c>
      <c r="I2910">
        <v>1</v>
      </c>
      <c r="R2910">
        <v>0.81</v>
      </c>
    </row>
    <row r="2911" spans="1:18" ht="15.75" x14ac:dyDescent="0.25">
      <c r="A2911" s="2">
        <v>10055586</v>
      </c>
      <c r="B2911">
        <v>288087</v>
      </c>
      <c r="C2911" t="str">
        <f>HYPERLINK("https://ois.dk/map/288087/sfe", "Link")</f>
        <v>Link</v>
      </c>
      <c r="D2911" t="s">
        <v>1513</v>
      </c>
      <c r="E2911">
        <v>0.5</v>
      </c>
      <c r="F2911" t="s">
        <v>4067</v>
      </c>
      <c r="G2911">
        <v>0.5</v>
      </c>
    </row>
    <row r="2912" spans="1:18" ht="15.75" x14ac:dyDescent="0.25">
      <c r="A2912" s="2">
        <v>10055586</v>
      </c>
      <c r="B2912">
        <v>288088</v>
      </c>
      <c r="C2912" t="str">
        <f>HYPERLINK("https://ois.dk/map/288088/sfe", "Link")</f>
        <v>Link</v>
      </c>
      <c r="D2912" t="s">
        <v>1513</v>
      </c>
      <c r="E2912">
        <v>0.5</v>
      </c>
      <c r="F2912" t="s">
        <v>4068</v>
      </c>
      <c r="G2912">
        <v>0.5</v>
      </c>
    </row>
    <row r="2913" spans="1:18" ht="15.75" x14ac:dyDescent="0.25">
      <c r="A2913" s="2">
        <v>10055586</v>
      </c>
      <c r="B2913">
        <v>288089</v>
      </c>
      <c r="C2913" t="str">
        <f>HYPERLINK("https://ois.dk/map/288089/sfe", "Link")</f>
        <v>Link</v>
      </c>
      <c r="D2913" t="s">
        <v>1513</v>
      </c>
      <c r="E2913">
        <v>1.5</v>
      </c>
      <c r="F2913" t="s">
        <v>4069</v>
      </c>
      <c r="G2913">
        <v>0.5</v>
      </c>
      <c r="I2913">
        <v>1</v>
      </c>
      <c r="R2913">
        <v>0.92</v>
      </c>
    </row>
    <row r="2914" spans="1:18" ht="15.75" x14ac:dyDescent="0.25">
      <c r="A2914" s="2">
        <v>10055586</v>
      </c>
      <c r="B2914">
        <v>288090</v>
      </c>
      <c r="C2914" t="str">
        <f>HYPERLINK("https://ois.dk/map/288090/sfe", "Link")</f>
        <v>Link</v>
      </c>
      <c r="D2914" t="s">
        <v>1513</v>
      </c>
      <c r="E2914">
        <v>1.5</v>
      </c>
      <c r="F2914" t="s">
        <v>4070</v>
      </c>
      <c r="G2914">
        <v>0.5</v>
      </c>
      <c r="I2914">
        <v>1</v>
      </c>
      <c r="R2914">
        <v>0.92</v>
      </c>
    </row>
    <row r="2915" spans="1:18" ht="15.75" x14ac:dyDescent="0.25">
      <c r="A2915" s="2">
        <v>10055586</v>
      </c>
      <c r="B2915">
        <v>288091</v>
      </c>
      <c r="C2915" t="str">
        <f>HYPERLINK("https://ois.dk/map/288091/sfe", "Link")</f>
        <v>Link</v>
      </c>
      <c r="D2915" t="s">
        <v>1513</v>
      </c>
      <c r="E2915">
        <v>0.5</v>
      </c>
      <c r="F2915" t="s">
        <v>4071</v>
      </c>
      <c r="G2915">
        <v>0.5</v>
      </c>
    </row>
    <row r="2916" spans="1:18" ht="15.75" x14ac:dyDescent="0.25">
      <c r="A2916" s="2">
        <v>10055586</v>
      </c>
      <c r="B2916">
        <v>288092</v>
      </c>
      <c r="C2916" t="str">
        <f>HYPERLINK("https://ois.dk/map/288092/sfe", "Link")</f>
        <v>Link</v>
      </c>
      <c r="D2916" t="s">
        <v>1513</v>
      </c>
      <c r="E2916">
        <v>0.5</v>
      </c>
      <c r="F2916" t="s">
        <v>4072</v>
      </c>
      <c r="G2916">
        <v>0.5</v>
      </c>
    </row>
    <row r="2917" spans="1:18" ht="15.75" x14ac:dyDescent="0.25">
      <c r="A2917" s="2">
        <v>10055586</v>
      </c>
      <c r="B2917">
        <v>10055586</v>
      </c>
      <c r="C2917" t="str">
        <f>HYPERLINK("https://ois.dk/map/10055586/sfe", "Link")</f>
        <v>Link</v>
      </c>
      <c r="D2917" t="s">
        <v>1513</v>
      </c>
      <c r="E2917">
        <v>0.25</v>
      </c>
      <c r="F2917" t="s">
        <v>4073</v>
      </c>
      <c r="H2917">
        <v>0.25</v>
      </c>
      <c r="R2917">
        <v>0.81</v>
      </c>
    </row>
    <row r="2918" spans="1:18" ht="15.75" x14ac:dyDescent="0.25">
      <c r="A2918" s="2">
        <v>10055587</v>
      </c>
      <c r="B2918">
        <v>288093</v>
      </c>
      <c r="C2918" t="str">
        <f>HYPERLINK("https://ois.dk/map/288093/sfe", "Link")</f>
        <v>Link</v>
      </c>
      <c r="D2918" t="s">
        <v>4074</v>
      </c>
      <c r="E2918">
        <v>1.5</v>
      </c>
      <c r="F2918" t="s">
        <v>4075</v>
      </c>
      <c r="G2918">
        <v>0.5</v>
      </c>
      <c r="I2918">
        <v>1</v>
      </c>
      <c r="R2918">
        <v>0.82</v>
      </c>
    </row>
    <row r="2919" spans="1:18" ht="15.75" x14ac:dyDescent="0.25">
      <c r="A2919" s="2">
        <v>10055587</v>
      </c>
      <c r="B2919">
        <v>288094</v>
      </c>
      <c r="C2919" t="str">
        <f>HYPERLINK("https://ois.dk/map/288094/sfe", "Link")</f>
        <v>Link</v>
      </c>
      <c r="D2919" t="s">
        <v>4074</v>
      </c>
      <c r="E2919">
        <v>1.5</v>
      </c>
      <c r="F2919" t="s">
        <v>4076</v>
      </c>
      <c r="G2919">
        <v>0.5</v>
      </c>
      <c r="I2919">
        <v>1</v>
      </c>
      <c r="R2919">
        <v>0.82</v>
      </c>
    </row>
    <row r="2920" spans="1:18" ht="15.75" x14ac:dyDescent="0.25">
      <c r="A2920" s="2">
        <v>10055587</v>
      </c>
      <c r="B2920">
        <v>288095</v>
      </c>
      <c r="C2920" t="str">
        <f>HYPERLINK("https://ois.dk/map/288095/sfe", "Link")</f>
        <v>Link</v>
      </c>
      <c r="D2920" t="s">
        <v>4074</v>
      </c>
      <c r="E2920">
        <v>0.5</v>
      </c>
      <c r="F2920" t="s">
        <v>4077</v>
      </c>
      <c r="G2920">
        <v>0.5</v>
      </c>
    </row>
    <row r="2921" spans="1:18" ht="15.75" x14ac:dyDescent="0.25">
      <c r="A2921" s="2">
        <v>10055587</v>
      </c>
      <c r="B2921">
        <v>288096</v>
      </c>
      <c r="C2921" t="str">
        <f>HYPERLINK("https://ois.dk/map/288096/sfe", "Link")</f>
        <v>Link</v>
      </c>
      <c r="D2921" t="s">
        <v>4074</v>
      </c>
      <c r="E2921">
        <v>0.5</v>
      </c>
      <c r="F2921" t="s">
        <v>4078</v>
      </c>
      <c r="G2921">
        <v>0.5</v>
      </c>
    </row>
    <row r="2922" spans="1:18" ht="15.75" x14ac:dyDescent="0.25">
      <c r="A2922" s="2">
        <v>10055587</v>
      </c>
      <c r="B2922">
        <v>288097</v>
      </c>
      <c r="C2922" t="str">
        <f>HYPERLINK("https://ois.dk/map/288097/sfe", "Link")</f>
        <v>Link</v>
      </c>
      <c r="D2922" t="s">
        <v>4074</v>
      </c>
      <c r="E2922">
        <v>1.5</v>
      </c>
      <c r="F2922" t="s">
        <v>4079</v>
      </c>
      <c r="G2922">
        <v>0.5</v>
      </c>
      <c r="I2922">
        <v>1</v>
      </c>
      <c r="R2922">
        <v>0.82</v>
      </c>
    </row>
    <row r="2923" spans="1:18" ht="15.75" x14ac:dyDescent="0.25">
      <c r="A2923" s="2">
        <v>10055587</v>
      </c>
      <c r="B2923">
        <v>288098</v>
      </c>
      <c r="C2923" t="str">
        <f>HYPERLINK("https://ois.dk/map/288098/sfe", "Link")</f>
        <v>Link</v>
      </c>
      <c r="D2923" t="s">
        <v>4074</v>
      </c>
      <c r="E2923">
        <v>0.5</v>
      </c>
      <c r="F2923" t="s">
        <v>4080</v>
      </c>
      <c r="G2923">
        <v>0.5</v>
      </c>
    </row>
    <row r="2924" spans="1:18" ht="15.75" x14ac:dyDescent="0.25">
      <c r="A2924" s="2">
        <v>10055587</v>
      </c>
      <c r="B2924">
        <v>288099</v>
      </c>
      <c r="C2924" t="str">
        <f>HYPERLINK("https://ois.dk/map/288099/sfe", "Link")</f>
        <v>Link</v>
      </c>
      <c r="D2924" t="s">
        <v>4074</v>
      </c>
      <c r="E2924">
        <v>0.5</v>
      </c>
      <c r="F2924" t="s">
        <v>4081</v>
      </c>
      <c r="G2924">
        <v>0.5</v>
      </c>
    </row>
    <row r="2925" spans="1:18" ht="15.75" x14ac:dyDescent="0.25">
      <c r="A2925" s="2">
        <v>10055587</v>
      </c>
      <c r="B2925">
        <v>10055587</v>
      </c>
      <c r="C2925" t="str">
        <f>HYPERLINK("https://ois.dk/map/10055587/sfe", "Link")</f>
        <v>Link</v>
      </c>
      <c r="D2925" t="s">
        <v>4074</v>
      </c>
      <c r="E2925">
        <v>0.25</v>
      </c>
      <c r="F2925" t="s">
        <v>4082</v>
      </c>
      <c r="H2925">
        <v>0.25</v>
      </c>
      <c r="R2925">
        <v>0.82</v>
      </c>
    </row>
    <row r="2926" spans="1:18" ht="15.75" x14ac:dyDescent="0.25">
      <c r="A2926" s="2">
        <v>10055588</v>
      </c>
      <c r="B2926">
        <v>288100</v>
      </c>
      <c r="C2926" t="str">
        <f>HYPERLINK("https://ois.dk/map/288100/sfe", "Link")</f>
        <v>Link</v>
      </c>
      <c r="D2926" t="s">
        <v>4083</v>
      </c>
      <c r="E2926">
        <v>1.5</v>
      </c>
      <c r="F2926" t="s">
        <v>4084</v>
      </c>
      <c r="G2926">
        <v>0.5</v>
      </c>
      <c r="I2926">
        <v>1</v>
      </c>
      <c r="R2926">
        <v>0.77</v>
      </c>
    </row>
    <row r="2927" spans="1:18" ht="15.75" x14ac:dyDescent="0.25">
      <c r="A2927" s="2">
        <v>10055588</v>
      </c>
      <c r="B2927">
        <v>288101</v>
      </c>
      <c r="C2927" t="str">
        <f>HYPERLINK("https://ois.dk/map/288101/sfe", "Link")</f>
        <v>Link</v>
      </c>
      <c r="D2927" t="s">
        <v>4083</v>
      </c>
      <c r="E2927">
        <v>1.5</v>
      </c>
      <c r="F2927" t="s">
        <v>4085</v>
      </c>
      <c r="G2927">
        <v>0.5</v>
      </c>
      <c r="I2927">
        <v>1</v>
      </c>
      <c r="R2927">
        <v>0.78</v>
      </c>
    </row>
    <row r="2928" spans="1:18" ht="15.75" x14ac:dyDescent="0.25">
      <c r="A2928" s="2">
        <v>10055588</v>
      </c>
      <c r="B2928">
        <v>288102</v>
      </c>
      <c r="C2928" t="str">
        <f>HYPERLINK("https://ois.dk/map/288102/sfe", "Link")</f>
        <v>Link</v>
      </c>
      <c r="D2928" t="s">
        <v>4083</v>
      </c>
      <c r="E2928">
        <v>0.5</v>
      </c>
      <c r="F2928" t="s">
        <v>4086</v>
      </c>
      <c r="G2928">
        <v>0.5</v>
      </c>
    </row>
    <row r="2929" spans="1:18" ht="15.75" x14ac:dyDescent="0.25">
      <c r="A2929" s="2">
        <v>10055588</v>
      </c>
      <c r="B2929">
        <v>288103</v>
      </c>
      <c r="C2929" t="str">
        <f>HYPERLINK("https://ois.dk/map/288103/sfe", "Link")</f>
        <v>Link</v>
      </c>
      <c r="D2929" t="s">
        <v>4083</v>
      </c>
      <c r="E2929">
        <v>0.5</v>
      </c>
      <c r="F2929" t="s">
        <v>4087</v>
      </c>
      <c r="G2929">
        <v>0.5</v>
      </c>
    </row>
    <row r="2930" spans="1:18" ht="15.75" x14ac:dyDescent="0.25">
      <c r="A2930" s="2">
        <v>10055588</v>
      </c>
      <c r="B2930">
        <v>288104</v>
      </c>
      <c r="C2930" t="str">
        <f>HYPERLINK("https://ois.dk/map/288104/sfe", "Link")</f>
        <v>Link</v>
      </c>
      <c r="D2930" t="s">
        <v>4083</v>
      </c>
      <c r="E2930">
        <v>1.5</v>
      </c>
      <c r="F2930" t="s">
        <v>4088</v>
      </c>
      <c r="G2930">
        <v>0.5</v>
      </c>
      <c r="I2930">
        <v>1</v>
      </c>
      <c r="R2930">
        <v>0.77</v>
      </c>
    </row>
    <row r="2931" spans="1:18" ht="15.75" x14ac:dyDescent="0.25">
      <c r="A2931" s="2">
        <v>10055588</v>
      </c>
      <c r="B2931">
        <v>288105</v>
      </c>
      <c r="C2931" t="str">
        <f>HYPERLINK("https://ois.dk/map/288105/sfe", "Link")</f>
        <v>Link</v>
      </c>
      <c r="D2931" t="s">
        <v>4083</v>
      </c>
      <c r="E2931">
        <v>0.5</v>
      </c>
      <c r="F2931" t="s">
        <v>4089</v>
      </c>
      <c r="G2931">
        <v>0.5</v>
      </c>
    </row>
    <row r="2932" spans="1:18" ht="15.75" x14ac:dyDescent="0.25">
      <c r="A2932" s="2">
        <v>10055588</v>
      </c>
      <c r="B2932">
        <v>288106</v>
      </c>
      <c r="C2932" t="str">
        <f>HYPERLINK("https://ois.dk/map/288106/sfe", "Link")</f>
        <v>Link</v>
      </c>
      <c r="D2932" t="s">
        <v>4083</v>
      </c>
      <c r="E2932">
        <v>0.5</v>
      </c>
      <c r="F2932" t="s">
        <v>4090</v>
      </c>
      <c r="G2932">
        <v>0.5</v>
      </c>
    </row>
    <row r="2933" spans="1:18" ht="15.75" x14ac:dyDescent="0.25">
      <c r="A2933" s="2">
        <v>10055588</v>
      </c>
      <c r="B2933">
        <v>288107</v>
      </c>
      <c r="C2933" t="str">
        <f>HYPERLINK("https://ois.dk/map/288107/sfe", "Link")</f>
        <v>Link</v>
      </c>
      <c r="D2933" t="s">
        <v>4083</v>
      </c>
      <c r="E2933">
        <v>1.5</v>
      </c>
      <c r="F2933" t="s">
        <v>4091</v>
      </c>
      <c r="G2933">
        <v>0.5</v>
      </c>
      <c r="I2933">
        <v>1</v>
      </c>
      <c r="R2933">
        <v>0.8</v>
      </c>
    </row>
    <row r="2934" spans="1:18" ht="15.75" x14ac:dyDescent="0.25">
      <c r="A2934" s="2">
        <v>10055588</v>
      </c>
      <c r="B2934">
        <v>288108</v>
      </c>
      <c r="C2934" t="str">
        <f>HYPERLINK("https://ois.dk/map/288108/sfe", "Link")</f>
        <v>Link</v>
      </c>
      <c r="D2934" t="s">
        <v>4083</v>
      </c>
      <c r="E2934">
        <v>1.5</v>
      </c>
      <c r="F2934" t="s">
        <v>4092</v>
      </c>
      <c r="G2934">
        <v>0.5</v>
      </c>
      <c r="I2934">
        <v>1</v>
      </c>
      <c r="R2934">
        <v>0.8</v>
      </c>
    </row>
    <row r="2935" spans="1:18" ht="15.75" x14ac:dyDescent="0.25">
      <c r="A2935" s="2">
        <v>10055588</v>
      </c>
      <c r="B2935">
        <v>288109</v>
      </c>
      <c r="C2935" t="str">
        <f>HYPERLINK("https://ois.dk/map/288109/sfe", "Link")</f>
        <v>Link</v>
      </c>
      <c r="D2935" t="s">
        <v>4083</v>
      </c>
      <c r="E2935">
        <v>0.5</v>
      </c>
      <c r="F2935" t="s">
        <v>4093</v>
      </c>
      <c r="G2935">
        <v>0.5</v>
      </c>
    </row>
    <row r="2936" spans="1:18" ht="15.75" x14ac:dyDescent="0.25">
      <c r="A2936" s="2">
        <v>10055588</v>
      </c>
      <c r="B2936">
        <v>288110</v>
      </c>
      <c r="C2936" t="str">
        <f>HYPERLINK("https://ois.dk/map/288110/sfe", "Link")</f>
        <v>Link</v>
      </c>
      <c r="D2936" t="s">
        <v>4083</v>
      </c>
      <c r="E2936">
        <v>0.5</v>
      </c>
      <c r="F2936" t="s">
        <v>4094</v>
      </c>
      <c r="G2936">
        <v>0.5</v>
      </c>
    </row>
    <row r="2937" spans="1:18" ht="15.75" x14ac:dyDescent="0.25">
      <c r="A2937" s="2">
        <v>10055588</v>
      </c>
      <c r="B2937">
        <v>288111</v>
      </c>
      <c r="C2937" t="str">
        <f>HYPERLINK("https://ois.dk/map/288111/sfe", "Link")</f>
        <v>Link</v>
      </c>
      <c r="D2937" t="s">
        <v>4083</v>
      </c>
      <c r="E2937">
        <v>1.5</v>
      </c>
      <c r="F2937" t="s">
        <v>4095</v>
      </c>
      <c r="G2937">
        <v>0.5</v>
      </c>
      <c r="I2937">
        <v>1</v>
      </c>
      <c r="R2937">
        <v>0.78</v>
      </c>
    </row>
    <row r="2938" spans="1:18" ht="15.75" x14ac:dyDescent="0.25">
      <c r="A2938" s="2">
        <v>10055588</v>
      </c>
      <c r="B2938">
        <v>10055588</v>
      </c>
      <c r="C2938" t="str">
        <f>HYPERLINK("https://ois.dk/map/10055588/sfe", "Link")</f>
        <v>Link</v>
      </c>
      <c r="D2938" t="s">
        <v>4083</v>
      </c>
      <c r="E2938">
        <v>0.25</v>
      </c>
      <c r="F2938" t="s">
        <v>4096</v>
      </c>
      <c r="H2938">
        <v>0.25</v>
      </c>
      <c r="R2938">
        <v>0.77</v>
      </c>
    </row>
    <row r="2939" spans="1:18" ht="15.75" x14ac:dyDescent="0.25">
      <c r="A2939" s="2">
        <v>10055589</v>
      </c>
      <c r="B2939">
        <v>288112</v>
      </c>
      <c r="C2939" t="str">
        <f>HYPERLINK("https://ois.dk/map/288112/sfe", "Link")</f>
        <v>Link</v>
      </c>
      <c r="D2939" t="s">
        <v>4097</v>
      </c>
      <c r="E2939">
        <v>1.5</v>
      </c>
      <c r="F2939" t="s">
        <v>4098</v>
      </c>
      <c r="G2939">
        <v>0.5</v>
      </c>
      <c r="I2939">
        <v>1</v>
      </c>
      <c r="R2939">
        <v>0.82</v>
      </c>
    </row>
    <row r="2940" spans="1:18" ht="15.75" x14ac:dyDescent="0.25">
      <c r="A2940" s="2">
        <v>10055589</v>
      </c>
      <c r="B2940">
        <v>288113</v>
      </c>
      <c r="C2940" t="str">
        <f>HYPERLINK("https://ois.dk/map/288113/sfe", "Link")</f>
        <v>Link</v>
      </c>
      <c r="D2940" t="s">
        <v>4097</v>
      </c>
      <c r="E2940">
        <v>1.5</v>
      </c>
      <c r="F2940" t="s">
        <v>4099</v>
      </c>
      <c r="G2940">
        <v>0.5</v>
      </c>
      <c r="I2940">
        <v>1</v>
      </c>
      <c r="R2940">
        <v>0.82</v>
      </c>
    </row>
    <row r="2941" spans="1:18" ht="15.75" x14ac:dyDescent="0.25">
      <c r="A2941" s="2">
        <v>10055589</v>
      </c>
      <c r="B2941">
        <v>288114</v>
      </c>
      <c r="C2941" t="str">
        <f>HYPERLINK("https://ois.dk/map/288114/sfe", "Link")</f>
        <v>Link</v>
      </c>
      <c r="D2941" t="s">
        <v>4097</v>
      </c>
      <c r="E2941">
        <v>0.5</v>
      </c>
      <c r="F2941" t="s">
        <v>4100</v>
      </c>
      <c r="G2941">
        <v>0.5</v>
      </c>
    </row>
    <row r="2942" spans="1:18" ht="15.75" x14ac:dyDescent="0.25">
      <c r="A2942" s="2">
        <v>10055589</v>
      </c>
      <c r="B2942">
        <v>288115</v>
      </c>
      <c r="C2942" t="str">
        <f>HYPERLINK("https://ois.dk/map/288115/sfe", "Link")</f>
        <v>Link</v>
      </c>
      <c r="D2942" t="s">
        <v>4097</v>
      </c>
      <c r="E2942">
        <v>0.5</v>
      </c>
      <c r="F2942" t="s">
        <v>4101</v>
      </c>
      <c r="G2942">
        <v>0.5</v>
      </c>
    </row>
    <row r="2943" spans="1:18" ht="15.75" x14ac:dyDescent="0.25">
      <c r="A2943" s="2">
        <v>10055589</v>
      </c>
      <c r="B2943">
        <v>288116</v>
      </c>
      <c r="C2943" t="str">
        <f>HYPERLINK("https://ois.dk/map/288116/sfe", "Link")</f>
        <v>Link</v>
      </c>
      <c r="D2943" t="s">
        <v>4097</v>
      </c>
      <c r="E2943">
        <v>1.5</v>
      </c>
      <c r="F2943" t="s">
        <v>4102</v>
      </c>
      <c r="G2943">
        <v>0.5</v>
      </c>
      <c r="I2943">
        <v>1</v>
      </c>
      <c r="R2943">
        <v>0.83</v>
      </c>
    </row>
    <row r="2944" spans="1:18" ht="15.75" x14ac:dyDescent="0.25">
      <c r="A2944" s="2">
        <v>10055589</v>
      </c>
      <c r="B2944">
        <v>288117</v>
      </c>
      <c r="C2944" t="str">
        <f>HYPERLINK("https://ois.dk/map/288117/sfe", "Link")</f>
        <v>Link</v>
      </c>
      <c r="D2944" t="s">
        <v>4097</v>
      </c>
      <c r="E2944">
        <v>1.5</v>
      </c>
      <c r="F2944" t="s">
        <v>4103</v>
      </c>
      <c r="G2944">
        <v>0.5</v>
      </c>
      <c r="I2944">
        <v>1</v>
      </c>
      <c r="R2944">
        <v>0.83</v>
      </c>
    </row>
    <row r="2945" spans="1:18" ht="15.75" x14ac:dyDescent="0.25">
      <c r="A2945" s="2">
        <v>10055589</v>
      </c>
      <c r="B2945">
        <v>288118</v>
      </c>
      <c r="C2945" t="str">
        <f>HYPERLINK("https://ois.dk/map/288118/sfe", "Link")</f>
        <v>Link</v>
      </c>
      <c r="D2945" t="s">
        <v>4097</v>
      </c>
      <c r="E2945">
        <v>0.5</v>
      </c>
      <c r="F2945" t="s">
        <v>4104</v>
      </c>
      <c r="G2945">
        <v>0.5</v>
      </c>
    </row>
    <row r="2946" spans="1:18" ht="15.75" x14ac:dyDescent="0.25">
      <c r="A2946" s="2">
        <v>10055589</v>
      </c>
      <c r="B2946">
        <v>288119</v>
      </c>
      <c r="C2946" t="str">
        <f>HYPERLINK("https://ois.dk/map/288119/sfe", "Link")</f>
        <v>Link</v>
      </c>
      <c r="D2946" t="s">
        <v>4097</v>
      </c>
      <c r="E2946">
        <v>0.5</v>
      </c>
      <c r="F2946" t="s">
        <v>4105</v>
      </c>
      <c r="G2946">
        <v>0.5</v>
      </c>
    </row>
    <row r="2947" spans="1:18" ht="15.75" x14ac:dyDescent="0.25">
      <c r="A2947" s="2">
        <v>10055589</v>
      </c>
      <c r="B2947">
        <v>10055589</v>
      </c>
      <c r="C2947" t="str">
        <f>HYPERLINK("https://ois.dk/map/10055589/sfe", "Link")</f>
        <v>Link</v>
      </c>
      <c r="D2947" t="s">
        <v>4097</v>
      </c>
      <c r="E2947">
        <v>0.25</v>
      </c>
      <c r="F2947" t="s">
        <v>4106</v>
      </c>
      <c r="H2947">
        <v>0.25</v>
      </c>
      <c r="R2947">
        <v>0.82</v>
      </c>
    </row>
    <row r="2948" spans="1:18" ht="15.75" x14ac:dyDescent="0.25">
      <c r="A2948" s="2">
        <v>10055590</v>
      </c>
      <c r="B2948">
        <v>288120</v>
      </c>
      <c r="C2948" t="str">
        <f>HYPERLINK("https://ois.dk/map/288120/sfe", "Link")</f>
        <v>Link</v>
      </c>
      <c r="D2948" t="s">
        <v>4107</v>
      </c>
      <c r="E2948">
        <v>1.5</v>
      </c>
      <c r="F2948" t="s">
        <v>4108</v>
      </c>
      <c r="G2948">
        <v>0.5</v>
      </c>
      <c r="I2948">
        <v>1</v>
      </c>
      <c r="R2948">
        <v>0.82</v>
      </c>
    </row>
    <row r="2949" spans="1:18" ht="15.75" x14ac:dyDescent="0.25">
      <c r="A2949" s="2">
        <v>10055590</v>
      </c>
      <c r="B2949">
        <v>288121</v>
      </c>
      <c r="C2949" t="str">
        <f>HYPERLINK("https://ois.dk/map/288121/sfe", "Link")</f>
        <v>Link</v>
      </c>
      <c r="D2949" t="s">
        <v>4107</v>
      </c>
      <c r="E2949">
        <v>0.5</v>
      </c>
      <c r="F2949" t="s">
        <v>4109</v>
      </c>
      <c r="G2949">
        <v>0.5</v>
      </c>
    </row>
    <row r="2950" spans="1:18" ht="15.75" x14ac:dyDescent="0.25">
      <c r="A2950" s="2">
        <v>10055590</v>
      </c>
      <c r="B2950">
        <v>288122</v>
      </c>
      <c r="C2950" t="str">
        <f>HYPERLINK("https://ois.dk/map/288122/sfe", "Link")</f>
        <v>Link</v>
      </c>
      <c r="D2950" t="s">
        <v>4107</v>
      </c>
      <c r="E2950">
        <v>0.5</v>
      </c>
      <c r="F2950" t="s">
        <v>4110</v>
      </c>
      <c r="G2950">
        <v>0.5</v>
      </c>
    </row>
    <row r="2951" spans="1:18" ht="15.75" x14ac:dyDescent="0.25">
      <c r="A2951" s="2">
        <v>10055590</v>
      </c>
      <c r="B2951">
        <v>288123</v>
      </c>
      <c r="C2951" t="str">
        <f>HYPERLINK("https://ois.dk/map/288123/sfe", "Link")</f>
        <v>Link</v>
      </c>
      <c r="D2951" t="s">
        <v>4107</v>
      </c>
      <c r="E2951">
        <v>1.5</v>
      </c>
      <c r="F2951" t="s">
        <v>4111</v>
      </c>
      <c r="G2951">
        <v>0.5</v>
      </c>
      <c r="I2951">
        <v>1</v>
      </c>
      <c r="R2951">
        <v>0.82</v>
      </c>
    </row>
    <row r="2952" spans="1:18" ht="15.75" x14ac:dyDescent="0.25">
      <c r="A2952" s="2">
        <v>10055590</v>
      </c>
      <c r="B2952">
        <v>288124</v>
      </c>
      <c r="C2952" t="str">
        <f>HYPERLINK("https://ois.dk/map/288124/sfe", "Link")</f>
        <v>Link</v>
      </c>
      <c r="D2952" t="s">
        <v>4107</v>
      </c>
      <c r="E2952">
        <v>1.5</v>
      </c>
      <c r="F2952" t="s">
        <v>4112</v>
      </c>
      <c r="G2952">
        <v>0.5</v>
      </c>
      <c r="I2952">
        <v>1</v>
      </c>
      <c r="R2952">
        <v>0.82</v>
      </c>
    </row>
    <row r="2953" spans="1:18" ht="15.75" x14ac:dyDescent="0.25">
      <c r="A2953" s="2">
        <v>10055590</v>
      </c>
      <c r="B2953">
        <v>288125</v>
      </c>
      <c r="C2953" t="str">
        <f>HYPERLINK("https://ois.dk/map/288125/sfe", "Link")</f>
        <v>Link</v>
      </c>
      <c r="D2953" t="s">
        <v>4107</v>
      </c>
      <c r="E2953">
        <v>0.5</v>
      </c>
      <c r="F2953" t="s">
        <v>4113</v>
      </c>
      <c r="G2953">
        <v>0.5</v>
      </c>
    </row>
    <row r="2954" spans="1:18" ht="15.75" x14ac:dyDescent="0.25">
      <c r="A2954" s="2">
        <v>10055590</v>
      </c>
      <c r="B2954">
        <v>288126</v>
      </c>
      <c r="C2954" t="str">
        <f>HYPERLINK("https://ois.dk/map/288126/sfe", "Link")</f>
        <v>Link</v>
      </c>
      <c r="D2954" t="s">
        <v>4107</v>
      </c>
      <c r="E2954">
        <v>0.5</v>
      </c>
      <c r="F2954" t="s">
        <v>4114</v>
      </c>
      <c r="G2954">
        <v>0.5</v>
      </c>
    </row>
    <row r="2955" spans="1:18" ht="15.75" x14ac:dyDescent="0.25">
      <c r="A2955" s="2">
        <v>10055590</v>
      </c>
      <c r="B2955">
        <v>10055590</v>
      </c>
      <c r="C2955" t="str">
        <f>HYPERLINK("https://ois.dk/map/10055590/sfe", "Link")</f>
        <v>Link</v>
      </c>
      <c r="D2955" t="s">
        <v>4107</v>
      </c>
      <c r="E2955">
        <v>0.25</v>
      </c>
      <c r="F2955" t="s">
        <v>4115</v>
      </c>
      <c r="H2955">
        <v>0.25</v>
      </c>
      <c r="R2955">
        <v>0.82</v>
      </c>
    </row>
    <row r="2956" spans="1:18" ht="15.75" x14ac:dyDescent="0.25">
      <c r="A2956" s="2">
        <v>10055591</v>
      </c>
      <c r="B2956">
        <v>288127</v>
      </c>
      <c r="C2956" t="str">
        <f>HYPERLINK("https://ois.dk/map/288127/sfe", "Link")</f>
        <v>Link</v>
      </c>
      <c r="D2956" t="s">
        <v>4116</v>
      </c>
      <c r="E2956">
        <v>1.5</v>
      </c>
      <c r="F2956" t="s">
        <v>4117</v>
      </c>
      <c r="G2956">
        <v>0.5</v>
      </c>
      <c r="I2956">
        <v>1</v>
      </c>
      <c r="R2956">
        <v>0.97</v>
      </c>
    </row>
    <row r="2957" spans="1:18" ht="15.75" x14ac:dyDescent="0.25">
      <c r="A2957" s="2">
        <v>10055591</v>
      </c>
      <c r="B2957">
        <v>288128</v>
      </c>
      <c r="C2957" t="str">
        <f>HYPERLINK("https://ois.dk/map/288128/sfe", "Link")</f>
        <v>Link</v>
      </c>
      <c r="D2957" t="s">
        <v>4116</v>
      </c>
      <c r="E2957">
        <v>0.5</v>
      </c>
      <c r="F2957" t="s">
        <v>4118</v>
      </c>
      <c r="G2957">
        <v>0.5</v>
      </c>
    </row>
    <row r="2958" spans="1:18" ht="15.75" x14ac:dyDescent="0.25">
      <c r="A2958" s="2">
        <v>10055591</v>
      </c>
      <c r="B2958">
        <v>288129</v>
      </c>
      <c r="C2958" t="str">
        <f>HYPERLINK("https://ois.dk/map/288129/sfe", "Link")</f>
        <v>Link</v>
      </c>
      <c r="D2958" t="s">
        <v>4116</v>
      </c>
      <c r="E2958">
        <v>0.5</v>
      </c>
      <c r="F2958" t="s">
        <v>4119</v>
      </c>
      <c r="G2958">
        <v>0.5</v>
      </c>
    </row>
    <row r="2959" spans="1:18" ht="15.75" x14ac:dyDescent="0.25">
      <c r="A2959" s="2">
        <v>10055591</v>
      </c>
      <c r="B2959">
        <v>288130</v>
      </c>
      <c r="C2959" t="str">
        <f>HYPERLINK("https://ois.dk/map/288130/sfe", "Link")</f>
        <v>Link</v>
      </c>
      <c r="D2959" t="s">
        <v>4116</v>
      </c>
      <c r="E2959">
        <v>1.5</v>
      </c>
      <c r="F2959" t="s">
        <v>4120</v>
      </c>
      <c r="G2959">
        <v>0.5</v>
      </c>
      <c r="I2959">
        <v>1</v>
      </c>
      <c r="R2959">
        <v>0.81</v>
      </c>
    </row>
    <row r="2960" spans="1:18" ht="15.75" x14ac:dyDescent="0.25">
      <c r="A2960" s="2">
        <v>10055591</v>
      </c>
      <c r="B2960">
        <v>288131</v>
      </c>
      <c r="C2960" t="str">
        <f>HYPERLINK("https://ois.dk/map/288131/sfe", "Link")</f>
        <v>Link</v>
      </c>
      <c r="D2960" t="s">
        <v>4116</v>
      </c>
      <c r="E2960">
        <v>1.5</v>
      </c>
      <c r="F2960" t="s">
        <v>4121</v>
      </c>
      <c r="G2960">
        <v>0.5</v>
      </c>
      <c r="I2960">
        <v>1</v>
      </c>
      <c r="R2960">
        <v>0.81</v>
      </c>
    </row>
    <row r="2961" spans="1:18" ht="15.75" x14ac:dyDescent="0.25">
      <c r="A2961" s="2">
        <v>10055591</v>
      </c>
      <c r="B2961">
        <v>288132</v>
      </c>
      <c r="C2961" t="str">
        <f>HYPERLINK("https://ois.dk/map/288132/sfe", "Link")</f>
        <v>Link</v>
      </c>
      <c r="D2961" t="s">
        <v>4116</v>
      </c>
      <c r="E2961">
        <v>0.5</v>
      </c>
      <c r="F2961" t="s">
        <v>4122</v>
      </c>
      <c r="G2961">
        <v>0.5</v>
      </c>
    </row>
    <row r="2962" spans="1:18" ht="15.75" x14ac:dyDescent="0.25">
      <c r="A2962" s="2">
        <v>10055591</v>
      </c>
      <c r="B2962">
        <v>288133</v>
      </c>
      <c r="C2962" t="str">
        <f>HYPERLINK("https://ois.dk/map/288133/sfe", "Link")</f>
        <v>Link</v>
      </c>
      <c r="D2962" t="s">
        <v>4116</v>
      </c>
      <c r="E2962">
        <v>0.5</v>
      </c>
      <c r="F2962" t="s">
        <v>4123</v>
      </c>
      <c r="G2962">
        <v>0.5</v>
      </c>
    </row>
    <row r="2963" spans="1:18" ht="15.75" x14ac:dyDescent="0.25">
      <c r="A2963" s="2">
        <v>10055591</v>
      </c>
      <c r="B2963">
        <v>288134</v>
      </c>
      <c r="C2963" t="str">
        <f>HYPERLINK("https://ois.dk/map/288134/sfe", "Link")</f>
        <v>Link</v>
      </c>
      <c r="D2963" t="s">
        <v>4116</v>
      </c>
      <c r="E2963">
        <v>1.5</v>
      </c>
      <c r="F2963" t="s">
        <v>4124</v>
      </c>
      <c r="G2963">
        <v>0.5</v>
      </c>
      <c r="I2963">
        <v>1</v>
      </c>
      <c r="R2963">
        <v>0.84</v>
      </c>
    </row>
    <row r="2964" spans="1:18" ht="15.75" x14ac:dyDescent="0.25">
      <c r="A2964" s="2">
        <v>10055591</v>
      </c>
      <c r="B2964">
        <v>288135</v>
      </c>
      <c r="C2964" t="str">
        <f>HYPERLINK("https://ois.dk/map/288135/sfe", "Link")</f>
        <v>Link</v>
      </c>
      <c r="D2964" t="s">
        <v>4116</v>
      </c>
      <c r="E2964">
        <v>0.5</v>
      </c>
      <c r="F2964" t="s">
        <v>4125</v>
      </c>
      <c r="G2964">
        <v>0.5</v>
      </c>
    </row>
    <row r="2965" spans="1:18" ht="15.75" x14ac:dyDescent="0.25">
      <c r="A2965" s="2">
        <v>10055591</v>
      </c>
      <c r="B2965">
        <v>288136</v>
      </c>
      <c r="C2965" t="str">
        <f>HYPERLINK("https://ois.dk/map/288136/sfe", "Link")</f>
        <v>Link</v>
      </c>
      <c r="D2965" t="s">
        <v>4116</v>
      </c>
      <c r="E2965">
        <v>0.5</v>
      </c>
      <c r="F2965" t="s">
        <v>4126</v>
      </c>
      <c r="G2965">
        <v>0.5</v>
      </c>
    </row>
    <row r="2966" spans="1:18" ht="15.75" x14ac:dyDescent="0.25">
      <c r="A2966" s="2">
        <v>10055591</v>
      </c>
      <c r="B2966">
        <v>288137</v>
      </c>
      <c r="C2966" t="str">
        <f>HYPERLINK("https://ois.dk/map/288137/sfe", "Link")</f>
        <v>Link</v>
      </c>
      <c r="D2966" t="s">
        <v>4116</v>
      </c>
      <c r="E2966">
        <v>0.5</v>
      </c>
      <c r="F2966" t="s">
        <v>4127</v>
      </c>
      <c r="G2966">
        <v>0.5</v>
      </c>
    </row>
    <row r="2967" spans="1:18" ht="15.75" x14ac:dyDescent="0.25">
      <c r="A2967" s="2">
        <v>10055591</v>
      </c>
      <c r="B2967">
        <v>288138</v>
      </c>
      <c r="C2967" t="str">
        <f>HYPERLINK("https://ois.dk/map/288138/sfe", "Link")</f>
        <v>Link</v>
      </c>
      <c r="D2967" t="s">
        <v>4116</v>
      </c>
      <c r="E2967">
        <v>0.5</v>
      </c>
      <c r="F2967" t="s">
        <v>4128</v>
      </c>
      <c r="G2967">
        <v>0.5</v>
      </c>
    </row>
    <row r="2968" spans="1:18" ht="15.75" x14ac:dyDescent="0.25">
      <c r="A2968" s="2">
        <v>10055591</v>
      </c>
      <c r="B2968">
        <v>288139</v>
      </c>
      <c r="C2968" t="str">
        <f>HYPERLINK("https://ois.dk/map/288139/sfe", "Link")</f>
        <v>Link</v>
      </c>
      <c r="D2968" t="s">
        <v>4116</v>
      </c>
      <c r="E2968">
        <v>1.5</v>
      </c>
      <c r="F2968" t="s">
        <v>4129</v>
      </c>
      <c r="G2968">
        <v>0.5</v>
      </c>
      <c r="I2968">
        <v>1</v>
      </c>
      <c r="R2968">
        <v>0.84</v>
      </c>
    </row>
    <row r="2969" spans="1:18" ht="15.75" x14ac:dyDescent="0.25">
      <c r="A2969" s="2">
        <v>10055591</v>
      </c>
      <c r="B2969">
        <v>288140</v>
      </c>
      <c r="C2969" t="str">
        <f>HYPERLINK("https://ois.dk/map/288140/sfe", "Link")</f>
        <v>Link</v>
      </c>
      <c r="D2969" t="s">
        <v>4116</v>
      </c>
      <c r="E2969">
        <v>1.5</v>
      </c>
      <c r="F2969" t="s">
        <v>4130</v>
      </c>
      <c r="G2969">
        <v>0.5</v>
      </c>
      <c r="I2969">
        <v>1</v>
      </c>
      <c r="R2969">
        <v>0.84</v>
      </c>
    </row>
    <row r="2970" spans="1:18" ht="15.75" x14ac:dyDescent="0.25">
      <c r="A2970" s="2">
        <v>10055591</v>
      </c>
      <c r="B2970">
        <v>288141</v>
      </c>
      <c r="C2970" t="str">
        <f>HYPERLINK("https://ois.dk/map/288141/sfe", "Link")</f>
        <v>Link</v>
      </c>
      <c r="D2970" t="s">
        <v>4116</v>
      </c>
      <c r="E2970">
        <v>0.5</v>
      </c>
      <c r="F2970" t="s">
        <v>4131</v>
      </c>
      <c r="G2970">
        <v>0.5</v>
      </c>
    </row>
    <row r="2971" spans="1:18" ht="15.75" x14ac:dyDescent="0.25">
      <c r="A2971" s="2">
        <v>10055591</v>
      </c>
      <c r="B2971">
        <v>288142</v>
      </c>
      <c r="C2971" t="str">
        <f>HYPERLINK("https://ois.dk/map/288142/sfe", "Link")</f>
        <v>Link</v>
      </c>
      <c r="D2971" t="s">
        <v>4116</v>
      </c>
      <c r="E2971">
        <v>0.5</v>
      </c>
      <c r="F2971" t="s">
        <v>4132</v>
      </c>
      <c r="G2971">
        <v>0.5</v>
      </c>
    </row>
    <row r="2972" spans="1:18" ht="15.75" x14ac:dyDescent="0.25">
      <c r="A2972" s="2">
        <v>10055591</v>
      </c>
      <c r="B2972">
        <v>288143</v>
      </c>
      <c r="C2972" t="str">
        <f>HYPERLINK("https://ois.dk/map/288143/sfe", "Link")</f>
        <v>Link</v>
      </c>
      <c r="D2972" t="s">
        <v>4116</v>
      </c>
      <c r="E2972">
        <v>1.5</v>
      </c>
      <c r="F2972" t="s">
        <v>4133</v>
      </c>
      <c r="G2972">
        <v>0.5</v>
      </c>
      <c r="I2972">
        <v>1</v>
      </c>
      <c r="R2972">
        <v>0.84</v>
      </c>
    </row>
    <row r="2973" spans="1:18" ht="15.75" x14ac:dyDescent="0.25">
      <c r="A2973" s="2">
        <v>10055591</v>
      </c>
      <c r="B2973">
        <v>288144</v>
      </c>
      <c r="C2973" t="str">
        <f>HYPERLINK("https://ois.dk/map/288144/sfe", "Link")</f>
        <v>Link</v>
      </c>
      <c r="D2973" t="s">
        <v>4116</v>
      </c>
      <c r="E2973">
        <v>1.5</v>
      </c>
      <c r="F2973" t="s">
        <v>4134</v>
      </c>
      <c r="G2973">
        <v>0.5</v>
      </c>
      <c r="I2973">
        <v>1</v>
      </c>
      <c r="R2973">
        <v>0.84</v>
      </c>
    </row>
    <row r="2974" spans="1:18" ht="15.75" x14ac:dyDescent="0.25">
      <c r="A2974" s="2">
        <v>10055591</v>
      </c>
      <c r="B2974">
        <v>10055591</v>
      </c>
      <c r="C2974" t="str">
        <f>HYPERLINK("https://ois.dk/map/10055591/sfe", "Link")</f>
        <v>Link</v>
      </c>
      <c r="D2974" t="s">
        <v>4116</v>
      </c>
      <c r="E2974">
        <v>0.25</v>
      </c>
      <c r="F2974" t="s">
        <v>4135</v>
      </c>
      <c r="H2974">
        <v>0.25</v>
      </c>
      <c r="R2974">
        <v>0.81</v>
      </c>
    </row>
    <row r="2975" spans="1:18" ht="15.75" x14ac:dyDescent="0.25">
      <c r="A2975" s="2">
        <v>10062329</v>
      </c>
      <c r="B2975">
        <v>10062329</v>
      </c>
      <c r="C2975" t="str">
        <f>HYPERLINK("https://ois.dk/map/10062329/sfe", "Link")</f>
        <v>Link</v>
      </c>
      <c r="D2975" t="s">
        <v>4136</v>
      </c>
      <c r="E2975">
        <v>0.5</v>
      </c>
      <c r="F2975" t="s">
        <v>4137</v>
      </c>
      <c r="G2975">
        <v>0.5</v>
      </c>
    </row>
    <row r="2976" spans="1:18" ht="15.75" x14ac:dyDescent="0.25">
      <c r="A2976" s="2">
        <v>10062981</v>
      </c>
      <c r="B2976">
        <v>10062981</v>
      </c>
      <c r="C2976" t="str">
        <f>HYPERLINK("https://ois.dk/map/10062981/sfe", "Link")</f>
        <v>Link</v>
      </c>
      <c r="D2976" t="s">
        <v>4138</v>
      </c>
      <c r="E2976">
        <v>0.752</v>
      </c>
      <c r="F2976" t="s">
        <v>4139</v>
      </c>
      <c r="G2976">
        <v>0.5</v>
      </c>
      <c r="H2976">
        <v>0.25</v>
      </c>
      <c r="N2976">
        <v>2E-3</v>
      </c>
    </row>
    <row r="2977" spans="1:7" ht="15.75" x14ac:dyDescent="0.25">
      <c r="A2977" s="2">
        <v>10066782</v>
      </c>
      <c r="B2977">
        <v>10066782</v>
      </c>
      <c r="C2977" t="str">
        <f>HYPERLINK("https://ois.dk/map/10066782/sfe", "Link")</f>
        <v>Link</v>
      </c>
      <c r="D2977" t="s">
        <v>4140</v>
      </c>
      <c r="E2977">
        <v>0.5</v>
      </c>
      <c r="G2977">
        <v>0.5</v>
      </c>
    </row>
    <row r="2978" spans="1:7" ht="15.75" x14ac:dyDescent="0.25">
      <c r="A2978" s="2">
        <v>10066783</v>
      </c>
      <c r="B2978">
        <v>10066783</v>
      </c>
      <c r="C2978" t="str">
        <f>HYPERLINK("https://ois.dk/map/10066783/sfe", "Link")</f>
        <v>Link</v>
      </c>
      <c r="D2978" t="s">
        <v>4141</v>
      </c>
      <c r="E2978">
        <v>0.5</v>
      </c>
      <c r="F2978" t="s">
        <v>4142</v>
      </c>
      <c r="G2978">
        <v>0.5</v>
      </c>
    </row>
    <row r="2979" spans="1:7" ht="15.75" x14ac:dyDescent="0.25">
      <c r="A2979" s="2">
        <v>10066784</v>
      </c>
      <c r="B2979">
        <v>10066784</v>
      </c>
      <c r="C2979" t="str">
        <f>HYPERLINK("https://ois.dk/map/10066784/sfe", "Link")</f>
        <v>Link</v>
      </c>
      <c r="D2979" t="s">
        <v>4143</v>
      </c>
      <c r="E2979">
        <v>0.5</v>
      </c>
      <c r="F2979" t="s">
        <v>4144</v>
      </c>
      <c r="G2979">
        <v>0.5</v>
      </c>
    </row>
    <row r="2980" spans="1:7" ht="15.75" x14ac:dyDescent="0.25">
      <c r="A2980" s="2">
        <v>10066785</v>
      </c>
      <c r="B2980">
        <v>10066785</v>
      </c>
      <c r="C2980" t="str">
        <f>HYPERLINK("https://ois.dk/map/10066785/sfe", "Link")</f>
        <v>Link</v>
      </c>
      <c r="D2980" t="s">
        <v>4145</v>
      </c>
      <c r="E2980">
        <v>0.5</v>
      </c>
      <c r="F2980" t="s">
        <v>4146</v>
      </c>
      <c r="G2980">
        <v>0.5</v>
      </c>
    </row>
    <row r="2981" spans="1:7" ht="15.75" x14ac:dyDescent="0.25">
      <c r="A2981" s="2">
        <v>10066786</v>
      </c>
      <c r="B2981">
        <v>10066786</v>
      </c>
      <c r="C2981" t="str">
        <f>HYPERLINK("https://ois.dk/map/10066786/sfe", "Link")</f>
        <v>Link</v>
      </c>
      <c r="D2981" t="s">
        <v>4147</v>
      </c>
      <c r="E2981">
        <v>0.5</v>
      </c>
      <c r="F2981" t="s">
        <v>4148</v>
      </c>
      <c r="G2981">
        <v>0.5</v>
      </c>
    </row>
    <row r="2982" spans="1:7" ht="15.75" x14ac:dyDescent="0.25">
      <c r="A2982" s="2">
        <v>10066787</v>
      </c>
      <c r="B2982">
        <v>10066787</v>
      </c>
      <c r="C2982" t="str">
        <f>HYPERLINK("https://ois.dk/map/10066787/sfe", "Link")</f>
        <v>Link</v>
      </c>
      <c r="D2982" t="s">
        <v>4149</v>
      </c>
      <c r="E2982">
        <v>0.5</v>
      </c>
      <c r="F2982" t="s">
        <v>4150</v>
      </c>
      <c r="G2982">
        <v>0.5</v>
      </c>
    </row>
    <row r="2983" spans="1:7" ht="15.75" x14ac:dyDescent="0.25">
      <c r="A2983" s="2">
        <v>10066788</v>
      </c>
      <c r="B2983">
        <v>10066788</v>
      </c>
      <c r="C2983" t="str">
        <f>HYPERLINK("https://ois.dk/map/10066788/sfe", "Link")</f>
        <v>Link</v>
      </c>
      <c r="D2983" t="s">
        <v>4151</v>
      </c>
      <c r="E2983">
        <v>0.5</v>
      </c>
      <c r="F2983" t="s">
        <v>4152</v>
      </c>
      <c r="G2983">
        <v>0.5</v>
      </c>
    </row>
    <row r="2984" spans="1:7" ht="15.75" x14ac:dyDescent="0.25">
      <c r="A2984" s="2">
        <v>10066789</v>
      </c>
      <c r="B2984">
        <v>10066789</v>
      </c>
      <c r="C2984" t="str">
        <f>HYPERLINK("https://ois.dk/map/10066789/sfe", "Link")</f>
        <v>Link</v>
      </c>
      <c r="D2984" t="s">
        <v>4153</v>
      </c>
      <c r="E2984">
        <v>0.5</v>
      </c>
      <c r="F2984" t="s">
        <v>4154</v>
      </c>
      <c r="G2984">
        <v>0.5</v>
      </c>
    </row>
    <row r="2985" spans="1:7" ht="15.75" x14ac:dyDescent="0.25">
      <c r="A2985" s="2">
        <v>10066790</v>
      </c>
      <c r="B2985">
        <v>10066790</v>
      </c>
      <c r="C2985" t="str">
        <f>HYPERLINK("https://ois.dk/map/10066790/sfe", "Link")</f>
        <v>Link</v>
      </c>
      <c r="D2985" t="s">
        <v>4155</v>
      </c>
      <c r="E2985">
        <v>0.5</v>
      </c>
      <c r="F2985" t="s">
        <v>4156</v>
      </c>
      <c r="G2985">
        <v>0.5</v>
      </c>
    </row>
    <row r="2986" spans="1:7" ht="15.75" x14ac:dyDescent="0.25">
      <c r="A2986" s="2">
        <v>10066791</v>
      </c>
      <c r="B2986">
        <v>10066791</v>
      </c>
      <c r="C2986" t="str">
        <f>HYPERLINK("https://ois.dk/map/10066791/sfe", "Link")</f>
        <v>Link</v>
      </c>
      <c r="D2986" t="s">
        <v>4157</v>
      </c>
      <c r="E2986">
        <v>0.5</v>
      </c>
      <c r="F2986" t="s">
        <v>4158</v>
      </c>
      <c r="G2986">
        <v>0.5</v>
      </c>
    </row>
    <row r="2987" spans="1:7" ht="15.75" x14ac:dyDescent="0.25">
      <c r="A2987" s="2">
        <v>10066792</v>
      </c>
      <c r="B2987">
        <v>10066792</v>
      </c>
      <c r="C2987" t="str">
        <f>HYPERLINK("https://ois.dk/map/10066792/sfe", "Link")</f>
        <v>Link</v>
      </c>
      <c r="D2987" t="s">
        <v>4159</v>
      </c>
      <c r="E2987">
        <v>0.5</v>
      </c>
      <c r="F2987" t="s">
        <v>4160</v>
      </c>
      <c r="G2987">
        <v>0.5</v>
      </c>
    </row>
    <row r="2988" spans="1:7" ht="15.75" x14ac:dyDescent="0.25">
      <c r="A2988" s="2">
        <v>10066793</v>
      </c>
      <c r="B2988">
        <v>10066793</v>
      </c>
      <c r="C2988" t="str">
        <f>HYPERLINK("https://ois.dk/map/10066793/sfe", "Link")</f>
        <v>Link</v>
      </c>
      <c r="D2988" t="s">
        <v>4161</v>
      </c>
      <c r="E2988">
        <v>0.5</v>
      </c>
      <c r="F2988" t="s">
        <v>4162</v>
      </c>
      <c r="G2988">
        <v>0.5</v>
      </c>
    </row>
    <row r="2989" spans="1:7" ht="15.75" x14ac:dyDescent="0.25">
      <c r="A2989" s="2">
        <v>10066794</v>
      </c>
      <c r="B2989">
        <v>10066794</v>
      </c>
      <c r="C2989" t="str">
        <f>HYPERLINK("https://ois.dk/map/10066794/sfe", "Link")</f>
        <v>Link</v>
      </c>
      <c r="D2989" t="s">
        <v>4163</v>
      </c>
      <c r="E2989">
        <v>0.5</v>
      </c>
      <c r="F2989" t="s">
        <v>4164</v>
      </c>
      <c r="G2989">
        <v>0.5</v>
      </c>
    </row>
    <row r="2990" spans="1:7" ht="15.75" x14ac:dyDescent="0.25">
      <c r="A2990" s="2">
        <v>10066795</v>
      </c>
      <c r="B2990">
        <v>10066795</v>
      </c>
      <c r="C2990" t="str">
        <f>HYPERLINK("https://ois.dk/map/10066795/sfe", "Link")</f>
        <v>Link</v>
      </c>
      <c r="D2990" t="s">
        <v>1029</v>
      </c>
      <c r="E2990">
        <v>0.5</v>
      </c>
      <c r="F2990" t="s">
        <v>4165</v>
      </c>
      <c r="G2990">
        <v>0.5</v>
      </c>
    </row>
    <row r="2991" spans="1:7" ht="15.75" x14ac:dyDescent="0.25">
      <c r="A2991" s="2">
        <v>10066796</v>
      </c>
      <c r="B2991">
        <v>10066796</v>
      </c>
      <c r="C2991" t="str">
        <f>HYPERLINK("https://ois.dk/map/10066796/sfe", "Link")</f>
        <v>Link</v>
      </c>
      <c r="D2991" t="s">
        <v>1031</v>
      </c>
      <c r="E2991">
        <v>0.5</v>
      </c>
      <c r="F2991" t="s">
        <v>4166</v>
      </c>
      <c r="G2991">
        <v>0.5</v>
      </c>
    </row>
    <row r="2992" spans="1:7" ht="15.75" x14ac:dyDescent="0.25">
      <c r="A2992" s="2">
        <v>10066797</v>
      </c>
      <c r="B2992">
        <v>10066797</v>
      </c>
      <c r="C2992" t="str">
        <f>HYPERLINK("https://ois.dk/map/10066797/sfe", "Link")</f>
        <v>Link</v>
      </c>
      <c r="D2992" t="s">
        <v>1033</v>
      </c>
      <c r="E2992">
        <v>0.5</v>
      </c>
      <c r="F2992" t="s">
        <v>4167</v>
      </c>
      <c r="G2992">
        <v>0.5</v>
      </c>
    </row>
    <row r="2993" spans="1:18" ht="15.75" x14ac:dyDescent="0.25">
      <c r="A2993" s="2">
        <v>10066798</v>
      </c>
      <c r="B2993">
        <v>10066798</v>
      </c>
      <c r="C2993" t="str">
        <f>HYPERLINK("https://ois.dk/map/10066798/sfe", "Link")</f>
        <v>Link</v>
      </c>
      <c r="D2993" t="s">
        <v>1035</v>
      </c>
      <c r="E2993">
        <v>0.5</v>
      </c>
      <c r="F2993" t="s">
        <v>4168</v>
      </c>
      <c r="G2993">
        <v>0.5</v>
      </c>
    </row>
    <row r="2994" spans="1:18" ht="15.75" x14ac:dyDescent="0.25">
      <c r="A2994" s="2">
        <v>10079963</v>
      </c>
      <c r="B2994">
        <v>10079963</v>
      </c>
      <c r="C2994" t="str">
        <f>HYPERLINK("https://ois.dk/map/10079963/sfe", "Link")</f>
        <v>Link</v>
      </c>
      <c r="D2994" t="s">
        <v>4169</v>
      </c>
      <c r="E2994">
        <v>0.5</v>
      </c>
      <c r="F2994" t="s">
        <v>4170</v>
      </c>
      <c r="G2994">
        <v>0.5</v>
      </c>
    </row>
    <row r="2995" spans="1:18" ht="15.75" x14ac:dyDescent="0.25">
      <c r="A2995" s="2">
        <v>10097777</v>
      </c>
      <c r="B2995">
        <v>10097777</v>
      </c>
      <c r="C2995" t="str">
        <f>HYPERLINK("https://ois.dk/map/10097777/sfe", "Link")</f>
        <v>Link</v>
      </c>
      <c r="D2995" t="s">
        <v>4171</v>
      </c>
      <c r="E2995">
        <v>0.5</v>
      </c>
      <c r="F2995" t="s">
        <v>4172</v>
      </c>
      <c r="G2995">
        <v>0.5</v>
      </c>
    </row>
    <row r="2996" spans="1:18" ht="15.75" x14ac:dyDescent="0.25">
      <c r="A2996" s="2">
        <v>10125240</v>
      </c>
      <c r="B2996">
        <v>10125240</v>
      </c>
      <c r="C2996" t="str">
        <f>HYPERLINK("https://ois.dk/map/10125240/sfe", "Link")</f>
        <v>Link</v>
      </c>
      <c r="D2996" t="s">
        <v>4173</v>
      </c>
      <c r="E2996">
        <v>1.25</v>
      </c>
      <c r="F2996" t="s">
        <v>4174</v>
      </c>
      <c r="H2996">
        <v>0.25</v>
      </c>
      <c r="I2996">
        <v>1</v>
      </c>
      <c r="R2996">
        <v>1.44</v>
      </c>
    </row>
    <row r="2997" spans="1:18" ht="15.75" x14ac:dyDescent="0.25">
      <c r="A2997" s="2">
        <v>10125240</v>
      </c>
      <c r="B2997">
        <v>10125240</v>
      </c>
      <c r="C2997" t="str">
        <f>HYPERLINK("https://ois.dk/map/10125240/sfe", "Link")</f>
        <v>Link</v>
      </c>
      <c r="D2997" t="s">
        <v>4173</v>
      </c>
      <c r="E2997">
        <v>0.5</v>
      </c>
      <c r="F2997" t="s">
        <v>4174</v>
      </c>
      <c r="G2997">
        <v>0.5</v>
      </c>
    </row>
    <row r="2998" spans="1:18" ht="15.75" x14ac:dyDescent="0.25">
      <c r="A2998" s="2">
        <v>10125240</v>
      </c>
      <c r="B2998">
        <v>10125240</v>
      </c>
      <c r="C2998" t="str">
        <f>HYPERLINK("https://ois.dk/map/10125240/sfe", "Link")</f>
        <v>Link</v>
      </c>
      <c r="D2998" t="s">
        <v>4173</v>
      </c>
      <c r="E2998">
        <v>0.5</v>
      </c>
      <c r="F2998" t="s">
        <v>4174</v>
      </c>
      <c r="G2998">
        <v>0.5</v>
      </c>
    </row>
    <row r="2999" spans="1:18" ht="15.75" x14ac:dyDescent="0.25">
      <c r="A2999" s="2">
        <v>10188714</v>
      </c>
      <c r="B2999">
        <v>10188714</v>
      </c>
      <c r="C2999" t="str">
        <f t="shared" ref="C2999:C3030" si="71">HYPERLINK("https://ois.dk/map/10188714/sfe", "Link")</f>
        <v>Link</v>
      </c>
      <c r="D2999" t="s">
        <v>546</v>
      </c>
      <c r="E2999">
        <v>0.25</v>
      </c>
      <c r="F2999" t="s">
        <v>4175</v>
      </c>
      <c r="H2999">
        <v>0.25</v>
      </c>
      <c r="R2999">
        <v>2.0699999999999998</v>
      </c>
    </row>
    <row r="3000" spans="1:18" ht="15.75" x14ac:dyDescent="0.25">
      <c r="A3000" s="2">
        <v>10188714</v>
      </c>
      <c r="B3000">
        <v>10188714</v>
      </c>
      <c r="C3000" t="str">
        <f t="shared" si="71"/>
        <v>Link</v>
      </c>
      <c r="D3000" t="s">
        <v>546</v>
      </c>
      <c r="E3000">
        <v>0.5</v>
      </c>
      <c r="F3000" t="s">
        <v>4176</v>
      </c>
      <c r="G3000">
        <v>0.5</v>
      </c>
    </row>
    <row r="3001" spans="1:18" ht="15.75" x14ac:dyDescent="0.25">
      <c r="A3001" s="2">
        <v>10188714</v>
      </c>
      <c r="B3001">
        <v>10188714</v>
      </c>
      <c r="C3001" t="str">
        <f t="shared" si="71"/>
        <v>Link</v>
      </c>
      <c r="D3001" t="s">
        <v>546</v>
      </c>
      <c r="E3001">
        <v>0.5</v>
      </c>
      <c r="F3001" t="s">
        <v>4177</v>
      </c>
      <c r="G3001">
        <v>0.5</v>
      </c>
    </row>
    <row r="3002" spans="1:18" ht="15.75" x14ac:dyDescent="0.25">
      <c r="A3002" s="2">
        <v>10188714</v>
      </c>
      <c r="B3002">
        <v>10188714</v>
      </c>
      <c r="C3002" t="str">
        <f t="shared" si="71"/>
        <v>Link</v>
      </c>
      <c r="D3002" t="s">
        <v>546</v>
      </c>
      <c r="E3002">
        <v>0.5</v>
      </c>
      <c r="F3002" t="s">
        <v>4178</v>
      </c>
      <c r="G3002">
        <v>0.5</v>
      </c>
    </row>
    <row r="3003" spans="1:18" ht="15.75" x14ac:dyDescent="0.25">
      <c r="A3003" s="2">
        <v>10188714</v>
      </c>
      <c r="B3003">
        <v>10188714</v>
      </c>
      <c r="C3003" t="str">
        <f t="shared" si="71"/>
        <v>Link</v>
      </c>
      <c r="D3003" t="s">
        <v>546</v>
      </c>
      <c r="E3003">
        <v>0.5</v>
      </c>
      <c r="F3003" t="s">
        <v>4179</v>
      </c>
      <c r="G3003">
        <v>0.5</v>
      </c>
    </row>
    <row r="3004" spans="1:18" ht="15.75" x14ac:dyDescent="0.25">
      <c r="A3004" s="2">
        <v>10188714</v>
      </c>
      <c r="B3004">
        <v>10188714</v>
      </c>
      <c r="C3004" t="str">
        <f t="shared" si="71"/>
        <v>Link</v>
      </c>
      <c r="D3004" t="s">
        <v>546</v>
      </c>
      <c r="E3004">
        <v>0.5</v>
      </c>
      <c r="F3004" t="s">
        <v>4180</v>
      </c>
      <c r="G3004">
        <v>0.5</v>
      </c>
    </row>
    <row r="3005" spans="1:18" ht="15.75" x14ac:dyDescent="0.25">
      <c r="A3005" s="2">
        <v>10188714</v>
      </c>
      <c r="B3005">
        <v>10188714</v>
      </c>
      <c r="C3005" t="str">
        <f t="shared" si="71"/>
        <v>Link</v>
      </c>
      <c r="D3005" t="s">
        <v>546</v>
      </c>
      <c r="E3005">
        <v>0.5</v>
      </c>
      <c r="F3005" t="s">
        <v>4181</v>
      </c>
      <c r="G3005">
        <v>0.5</v>
      </c>
    </row>
    <row r="3006" spans="1:18" ht="15.75" x14ac:dyDescent="0.25">
      <c r="A3006" s="2">
        <v>10188714</v>
      </c>
      <c r="B3006">
        <v>10188714</v>
      </c>
      <c r="C3006" t="str">
        <f t="shared" si="71"/>
        <v>Link</v>
      </c>
      <c r="D3006" t="s">
        <v>546</v>
      </c>
      <c r="E3006">
        <v>0.5</v>
      </c>
      <c r="F3006" t="s">
        <v>4182</v>
      </c>
      <c r="G3006">
        <v>0.5</v>
      </c>
    </row>
    <row r="3007" spans="1:18" ht="15.75" x14ac:dyDescent="0.25">
      <c r="A3007" s="2">
        <v>10188714</v>
      </c>
      <c r="B3007">
        <v>10188714</v>
      </c>
      <c r="C3007" t="str">
        <f t="shared" si="71"/>
        <v>Link</v>
      </c>
      <c r="D3007" t="s">
        <v>546</v>
      </c>
      <c r="E3007">
        <v>0.5</v>
      </c>
      <c r="F3007" t="s">
        <v>4183</v>
      </c>
      <c r="G3007">
        <v>0.5</v>
      </c>
    </row>
    <row r="3008" spans="1:18" ht="15.75" x14ac:dyDescent="0.25">
      <c r="A3008" s="2">
        <v>10188714</v>
      </c>
      <c r="B3008">
        <v>10188714</v>
      </c>
      <c r="C3008" t="str">
        <f t="shared" si="71"/>
        <v>Link</v>
      </c>
      <c r="D3008" t="s">
        <v>546</v>
      </c>
      <c r="E3008">
        <v>0.5</v>
      </c>
      <c r="F3008" t="s">
        <v>4184</v>
      </c>
      <c r="G3008">
        <v>0.5</v>
      </c>
    </row>
    <row r="3009" spans="1:18" ht="15.75" x14ac:dyDescent="0.25">
      <c r="A3009" s="2">
        <v>10188714</v>
      </c>
      <c r="B3009">
        <v>10188714</v>
      </c>
      <c r="C3009" t="str">
        <f t="shared" si="71"/>
        <v>Link</v>
      </c>
      <c r="D3009" t="s">
        <v>546</v>
      </c>
      <c r="E3009">
        <v>0.5</v>
      </c>
      <c r="F3009" t="s">
        <v>4185</v>
      </c>
      <c r="G3009">
        <v>0.5</v>
      </c>
    </row>
    <row r="3010" spans="1:18" ht="15.75" x14ac:dyDescent="0.25">
      <c r="A3010" s="2">
        <v>10188714</v>
      </c>
      <c r="B3010">
        <v>10188714</v>
      </c>
      <c r="C3010" t="str">
        <f t="shared" si="71"/>
        <v>Link</v>
      </c>
      <c r="D3010" t="s">
        <v>546</v>
      </c>
      <c r="E3010">
        <v>0.5</v>
      </c>
      <c r="F3010" t="s">
        <v>4186</v>
      </c>
      <c r="G3010">
        <v>0.5</v>
      </c>
    </row>
    <row r="3011" spans="1:18" ht="15.75" x14ac:dyDescent="0.25">
      <c r="A3011" s="2">
        <v>10188714</v>
      </c>
      <c r="B3011">
        <v>10188714</v>
      </c>
      <c r="C3011" t="str">
        <f t="shared" si="71"/>
        <v>Link</v>
      </c>
      <c r="D3011" t="s">
        <v>546</v>
      </c>
      <c r="E3011">
        <v>0.5</v>
      </c>
      <c r="F3011" t="s">
        <v>4187</v>
      </c>
      <c r="G3011">
        <v>0.5</v>
      </c>
    </row>
    <row r="3012" spans="1:18" ht="15.75" x14ac:dyDescent="0.25">
      <c r="A3012" s="2">
        <v>10188714</v>
      </c>
      <c r="B3012">
        <v>10188714</v>
      </c>
      <c r="C3012" t="str">
        <f t="shared" si="71"/>
        <v>Link</v>
      </c>
      <c r="D3012" t="s">
        <v>546</v>
      </c>
      <c r="E3012">
        <v>0.5</v>
      </c>
      <c r="F3012" t="s">
        <v>4188</v>
      </c>
      <c r="G3012">
        <v>0.5</v>
      </c>
    </row>
    <row r="3013" spans="1:18" ht="15.75" x14ac:dyDescent="0.25">
      <c r="A3013" s="2">
        <v>10188714</v>
      </c>
      <c r="B3013">
        <v>10188714</v>
      </c>
      <c r="C3013" t="str">
        <f t="shared" si="71"/>
        <v>Link</v>
      </c>
      <c r="D3013" t="s">
        <v>546</v>
      </c>
      <c r="E3013">
        <v>0.5</v>
      </c>
      <c r="F3013" t="s">
        <v>4189</v>
      </c>
      <c r="G3013">
        <v>0.5</v>
      </c>
    </row>
    <row r="3014" spans="1:18" ht="15.75" x14ac:dyDescent="0.25">
      <c r="A3014" s="2">
        <v>10188714</v>
      </c>
      <c r="B3014">
        <v>10188714</v>
      </c>
      <c r="C3014" t="str">
        <f t="shared" si="71"/>
        <v>Link</v>
      </c>
      <c r="D3014" t="s">
        <v>546</v>
      </c>
      <c r="E3014">
        <v>1.5</v>
      </c>
      <c r="F3014" t="s">
        <v>4190</v>
      </c>
      <c r="G3014">
        <v>0.5</v>
      </c>
      <c r="I3014">
        <v>1</v>
      </c>
      <c r="R3014">
        <v>2.0699999999999998</v>
      </c>
    </row>
    <row r="3015" spans="1:18" ht="15.75" x14ac:dyDescent="0.25">
      <c r="A3015" s="2">
        <v>10188714</v>
      </c>
      <c r="B3015">
        <v>10188714</v>
      </c>
      <c r="C3015" t="str">
        <f t="shared" si="71"/>
        <v>Link</v>
      </c>
      <c r="D3015" t="s">
        <v>546</v>
      </c>
      <c r="E3015">
        <v>0.5</v>
      </c>
      <c r="F3015" t="s">
        <v>4191</v>
      </c>
      <c r="G3015">
        <v>0.5</v>
      </c>
    </row>
    <row r="3016" spans="1:18" ht="15.75" x14ac:dyDescent="0.25">
      <c r="A3016" s="2">
        <v>10188714</v>
      </c>
      <c r="B3016">
        <v>10188714</v>
      </c>
      <c r="C3016" t="str">
        <f t="shared" si="71"/>
        <v>Link</v>
      </c>
      <c r="D3016" t="s">
        <v>546</v>
      </c>
      <c r="E3016">
        <v>1.5</v>
      </c>
      <c r="F3016" t="s">
        <v>4192</v>
      </c>
      <c r="G3016">
        <v>0.5</v>
      </c>
      <c r="I3016">
        <v>1</v>
      </c>
      <c r="R3016">
        <v>2.0699999999999998</v>
      </c>
    </row>
    <row r="3017" spans="1:18" ht="15.75" x14ac:dyDescent="0.25">
      <c r="A3017" s="2">
        <v>10188714</v>
      </c>
      <c r="B3017">
        <v>10188714</v>
      </c>
      <c r="C3017" t="str">
        <f t="shared" si="71"/>
        <v>Link</v>
      </c>
      <c r="D3017" t="s">
        <v>546</v>
      </c>
      <c r="E3017">
        <v>0.5</v>
      </c>
      <c r="F3017" t="s">
        <v>4193</v>
      </c>
      <c r="G3017">
        <v>0.5</v>
      </c>
    </row>
    <row r="3018" spans="1:18" ht="15.75" x14ac:dyDescent="0.25">
      <c r="A3018" s="2">
        <v>10188714</v>
      </c>
      <c r="B3018">
        <v>10188714</v>
      </c>
      <c r="C3018" t="str">
        <f t="shared" si="71"/>
        <v>Link</v>
      </c>
      <c r="D3018" t="s">
        <v>546</v>
      </c>
      <c r="E3018">
        <v>1.5</v>
      </c>
      <c r="F3018" t="s">
        <v>4194</v>
      </c>
      <c r="G3018">
        <v>0.5</v>
      </c>
      <c r="I3018">
        <v>1</v>
      </c>
      <c r="R3018">
        <v>2.0699999999999998</v>
      </c>
    </row>
    <row r="3019" spans="1:18" ht="15.75" x14ac:dyDescent="0.25">
      <c r="A3019" s="2">
        <v>10188714</v>
      </c>
      <c r="B3019">
        <v>10188714</v>
      </c>
      <c r="C3019" t="str">
        <f t="shared" si="71"/>
        <v>Link</v>
      </c>
      <c r="D3019" t="s">
        <v>546</v>
      </c>
      <c r="E3019">
        <v>0.5</v>
      </c>
      <c r="F3019" t="s">
        <v>4195</v>
      </c>
      <c r="G3019">
        <v>0.5</v>
      </c>
    </row>
    <row r="3020" spans="1:18" ht="15.75" x14ac:dyDescent="0.25">
      <c r="A3020" s="2">
        <v>10188714</v>
      </c>
      <c r="B3020">
        <v>10188714</v>
      </c>
      <c r="C3020" t="str">
        <f t="shared" si="71"/>
        <v>Link</v>
      </c>
      <c r="D3020" t="s">
        <v>546</v>
      </c>
      <c r="E3020">
        <v>1.5</v>
      </c>
      <c r="F3020" t="s">
        <v>4196</v>
      </c>
      <c r="G3020">
        <v>0.5</v>
      </c>
      <c r="I3020">
        <v>1</v>
      </c>
      <c r="R3020">
        <v>2.0699999999999998</v>
      </c>
    </row>
    <row r="3021" spans="1:18" ht="15.75" x14ac:dyDescent="0.25">
      <c r="A3021" s="2">
        <v>10188714</v>
      </c>
      <c r="B3021">
        <v>10188714</v>
      </c>
      <c r="C3021" t="str">
        <f t="shared" si="71"/>
        <v>Link</v>
      </c>
      <c r="D3021" t="s">
        <v>546</v>
      </c>
      <c r="E3021">
        <v>0.5</v>
      </c>
      <c r="F3021" t="s">
        <v>4197</v>
      </c>
      <c r="G3021">
        <v>0.5</v>
      </c>
    </row>
    <row r="3022" spans="1:18" ht="15.75" x14ac:dyDescent="0.25">
      <c r="A3022" s="2">
        <v>10188714</v>
      </c>
      <c r="B3022">
        <v>10188714</v>
      </c>
      <c r="C3022" t="str">
        <f t="shared" si="71"/>
        <v>Link</v>
      </c>
      <c r="D3022" t="s">
        <v>546</v>
      </c>
      <c r="E3022">
        <v>1.5</v>
      </c>
      <c r="F3022" t="s">
        <v>4198</v>
      </c>
      <c r="G3022">
        <v>0.5</v>
      </c>
      <c r="I3022">
        <v>1</v>
      </c>
      <c r="R3022">
        <v>2.0699999999999998</v>
      </c>
    </row>
    <row r="3023" spans="1:18" ht="15.75" x14ac:dyDescent="0.25">
      <c r="A3023" s="2">
        <v>10188714</v>
      </c>
      <c r="B3023">
        <v>10188714</v>
      </c>
      <c r="C3023" t="str">
        <f t="shared" si="71"/>
        <v>Link</v>
      </c>
      <c r="D3023" t="s">
        <v>546</v>
      </c>
      <c r="E3023">
        <v>0.5</v>
      </c>
      <c r="F3023" t="s">
        <v>4199</v>
      </c>
      <c r="G3023">
        <v>0.5</v>
      </c>
    </row>
    <row r="3024" spans="1:18" ht="15.75" x14ac:dyDescent="0.25">
      <c r="A3024" s="2">
        <v>10188714</v>
      </c>
      <c r="B3024">
        <v>10188714</v>
      </c>
      <c r="C3024" t="str">
        <f t="shared" si="71"/>
        <v>Link</v>
      </c>
      <c r="D3024" t="s">
        <v>546</v>
      </c>
      <c r="E3024">
        <v>1.5</v>
      </c>
      <c r="F3024" t="s">
        <v>4200</v>
      </c>
      <c r="G3024">
        <v>0.5</v>
      </c>
      <c r="I3024">
        <v>1</v>
      </c>
      <c r="R3024">
        <v>2.0699999999999998</v>
      </c>
    </row>
    <row r="3025" spans="1:18" ht="15.75" x14ac:dyDescent="0.25">
      <c r="A3025" s="2">
        <v>10188714</v>
      </c>
      <c r="B3025">
        <v>10188714</v>
      </c>
      <c r="C3025" t="str">
        <f t="shared" si="71"/>
        <v>Link</v>
      </c>
      <c r="D3025" t="s">
        <v>546</v>
      </c>
      <c r="E3025">
        <v>1.5</v>
      </c>
      <c r="F3025" t="s">
        <v>4201</v>
      </c>
      <c r="G3025">
        <v>0.5</v>
      </c>
      <c r="I3025">
        <v>1</v>
      </c>
      <c r="R3025">
        <v>2.0699999999999998</v>
      </c>
    </row>
    <row r="3026" spans="1:18" ht="15.75" x14ac:dyDescent="0.25">
      <c r="A3026" s="2">
        <v>10188714</v>
      </c>
      <c r="B3026">
        <v>10188714</v>
      </c>
      <c r="C3026" t="str">
        <f t="shared" si="71"/>
        <v>Link</v>
      </c>
      <c r="D3026" t="s">
        <v>546</v>
      </c>
      <c r="E3026">
        <v>0.5</v>
      </c>
      <c r="F3026" t="s">
        <v>4202</v>
      </c>
      <c r="G3026">
        <v>0.5</v>
      </c>
    </row>
    <row r="3027" spans="1:18" ht="15.75" x14ac:dyDescent="0.25">
      <c r="A3027" s="2">
        <v>10188714</v>
      </c>
      <c r="B3027">
        <v>10188714</v>
      </c>
      <c r="C3027" t="str">
        <f t="shared" si="71"/>
        <v>Link</v>
      </c>
      <c r="D3027" t="s">
        <v>546</v>
      </c>
      <c r="E3027">
        <v>1.5</v>
      </c>
      <c r="F3027" t="s">
        <v>4203</v>
      </c>
      <c r="G3027">
        <v>0.5</v>
      </c>
      <c r="I3027">
        <v>1</v>
      </c>
      <c r="R3027">
        <v>2.0699999999999998</v>
      </c>
    </row>
    <row r="3028" spans="1:18" ht="15.75" x14ac:dyDescent="0.25">
      <c r="A3028" s="2">
        <v>10188714</v>
      </c>
      <c r="B3028">
        <v>10188714</v>
      </c>
      <c r="C3028" t="str">
        <f t="shared" si="71"/>
        <v>Link</v>
      </c>
      <c r="D3028" t="s">
        <v>546</v>
      </c>
      <c r="E3028">
        <v>0.5</v>
      </c>
      <c r="F3028" t="s">
        <v>4204</v>
      </c>
      <c r="G3028">
        <v>0.5</v>
      </c>
    </row>
    <row r="3029" spans="1:18" ht="15.75" x14ac:dyDescent="0.25">
      <c r="A3029" s="2">
        <v>10188714</v>
      </c>
      <c r="B3029">
        <v>10188714</v>
      </c>
      <c r="C3029" t="str">
        <f t="shared" si="71"/>
        <v>Link</v>
      </c>
      <c r="D3029" t="s">
        <v>546</v>
      </c>
      <c r="E3029">
        <v>1.5</v>
      </c>
      <c r="F3029" t="s">
        <v>4205</v>
      </c>
      <c r="G3029">
        <v>0.5</v>
      </c>
      <c r="I3029">
        <v>1</v>
      </c>
      <c r="R3029">
        <v>2.09</v>
      </c>
    </row>
    <row r="3030" spans="1:18" ht="15.75" x14ac:dyDescent="0.25">
      <c r="A3030" s="2">
        <v>10188714</v>
      </c>
      <c r="B3030">
        <v>10188714</v>
      </c>
      <c r="C3030" t="str">
        <f t="shared" si="71"/>
        <v>Link</v>
      </c>
      <c r="D3030" t="s">
        <v>546</v>
      </c>
      <c r="E3030">
        <v>1.5</v>
      </c>
      <c r="F3030" t="s">
        <v>4206</v>
      </c>
      <c r="G3030">
        <v>0.5</v>
      </c>
      <c r="I3030">
        <v>1</v>
      </c>
      <c r="R3030">
        <v>2.09</v>
      </c>
    </row>
    <row r="3031" spans="1:18" ht="15.75" x14ac:dyDescent="0.25">
      <c r="A3031" s="2">
        <v>10188714</v>
      </c>
      <c r="B3031">
        <v>10188714</v>
      </c>
      <c r="C3031" t="str">
        <f t="shared" ref="C3031:C3060" si="72">HYPERLINK("https://ois.dk/map/10188714/sfe", "Link")</f>
        <v>Link</v>
      </c>
      <c r="D3031" t="s">
        <v>546</v>
      </c>
      <c r="E3031">
        <v>0.5</v>
      </c>
      <c r="F3031" t="s">
        <v>4207</v>
      </c>
      <c r="G3031">
        <v>0.5</v>
      </c>
    </row>
    <row r="3032" spans="1:18" ht="15.75" x14ac:dyDescent="0.25">
      <c r="A3032" s="2">
        <v>10188714</v>
      </c>
      <c r="B3032">
        <v>10188714</v>
      </c>
      <c r="C3032" t="str">
        <f t="shared" si="72"/>
        <v>Link</v>
      </c>
      <c r="D3032" t="s">
        <v>546</v>
      </c>
      <c r="E3032">
        <v>1.5</v>
      </c>
      <c r="F3032" t="s">
        <v>4208</v>
      </c>
      <c r="G3032">
        <v>0.5</v>
      </c>
      <c r="I3032">
        <v>1</v>
      </c>
      <c r="R3032">
        <v>2.09</v>
      </c>
    </row>
    <row r="3033" spans="1:18" ht="15.75" x14ac:dyDescent="0.25">
      <c r="A3033" s="2">
        <v>10188714</v>
      </c>
      <c r="B3033">
        <v>10188714</v>
      </c>
      <c r="C3033" t="str">
        <f t="shared" si="72"/>
        <v>Link</v>
      </c>
      <c r="D3033" t="s">
        <v>546</v>
      </c>
      <c r="E3033">
        <v>1.5</v>
      </c>
      <c r="F3033" t="s">
        <v>4209</v>
      </c>
      <c r="G3033">
        <v>0.5</v>
      </c>
      <c r="I3033">
        <v>1</v>
      </c>
      <c r="R3033">
        <v>2.09</v>
      </c>
    </row>
    <row r="3034" spans="1:18" ht="15.75" x14ac:dyDescent="0.25">
      <c r="A3034" s="2">
        <v>10188714</v>
      </c>
      <c r="B3034">
        <v>10188714</v>
      </c>
      <c r="C3034" t="str">
        <f t="shared" si="72"/>
        <v>Link</v>
      </c>
      <c r="D3034" t="s">
        <v>546</v>
      </c>
      <c r="E3034">
        <v>1.5</v>
      </c>
      <c r="F3034" t="s">
        <v>4210</v>
      </c>
      <c r="G3034">
        <v>0.5</v>
      </c>
      <c r="I3034">
        <v>1</v>
      </c>
      <c r="R3034">
        <v>2.09</v>
      </c>
    </row>
    <row r="3035" spans="1:18" ht="15.75" x14ac:dyDescent="0.25">
      <c r="A3035" s="2">
        <v>10188714</v>
      </c>
      <c r="B3035">
        <v>10188714</v>
      </c>
      <c r="C3035" t="str">
        <f t="shared" si="72"/>
        <v>Link</v>
      </c>
      <c r="D3035" t="s">
        <v>546</v>
      </c>
      <c r="E3035">
        <v>1.5</v>
      </c>
      <c r="F3035" t="s">
        <v>4211</v>
      </c>
      <c r="G3035">
        <v>0.5</v>
      </c>
      <c r="I3035">
        <v>1</v>
      </c>
      <c r="R3035">
        <v>2.09</v>
      </c>
    </row>
    <row r="3036" spans="1:18" ht="15.75" x14ac:dyDescent="0.25">
      <c r="A3036" s="2">
        <v>10188714</v>
      </c>
      <c r="B3036">
        <v>10188714</v>
      </c>
      <c r="C3036" t="str">
        <f t="shared" si="72"/>
        <v>Link</v>
      </c>
      <c r="D3036" t="s">
        <v>546</v>
      </c>
      <c r="E3036">
        <v>1.5</v>
      </c>
      <c r="F3036" t="s">
        <v>4212</v>
      </c>
      <c r="G3036">
        <v>0.5</v>
      </c>
      <c r="I3036">
        <v>1</v>
      </c>
      <c r="R3036">
        <v>2.09</v>
      </c>
    </row>
    <row r="3037" spans="1:18" ht="15.75" x14ac:dyDescent="0.25">
      <c r="A3037" s="2">
        <v>10188714</v>
      </c>
      <c r="B3037">
        <v>10188714</v>
      </c>
      <c r="C3037" t="str">
        <f t="shared" si="72"/>
        <v>Link</v>
      </c>
      <c r="D3037" t="s">
        <v>546</v>
      </c>
      <c r="E3037">
        <v>0.5</v>
      </c>
      <c r="F3037" t="s">
        <v>4213</v>
      </c>
      <c r="G3037">
        <v>0.5</v>
      </c>
    </row>
    <row r="3038" spans="1:18" ht="15.75" x14ac:dyDescent="0.25">
      <c r="A3038" s="2">
        <v>10188714</v>
      </c>
      <c r="B3038">
        <v>10188714</v>
      </c>
      <c r="C3038" t="str">
        <f t="shared" si="72"/>
        <v>Link</v>
      </c>
      <c r="D3038" t="s">
        <v>546</v>
      </c>
      <c r="E3038">
        <v>1.5</v>
      </c>
      <c r="F3038" t="s">
        <v>4214</v>
      </c>
      <c r="G3038">
        <v>0.5</v>
      </c>
      <c r="I3038">
        <v>1</v>
      </c>
      <c r="R3038">
        <v>2.09</v>
      </c>
    </row>
    <row r="3039" spans="1:18" ht="15.75" x14ac:dyDescent="0.25">
      <c r="A3039" s="2">
        <v>10188714</v>
      </c>
      <c r="B3039">
        <v>10188714</v>
      </c>
      <c r="C3039" t="str">
        <f t="shared" si="72"/>
        <v>Link</v>
      </c>
      <c r="D3039" t="s">
        <v>546</v>
      </c>
      <c r="E3039">
        <v>1.5</v>
      </c>
      <c r="F3039" t="s">
        <v>4215</v>
      </c>
      <c r="G3039">
        <v>0.5</v>
      </c>
      <c r="I3039">
        <v>1</v>
      </c>
      <c r="R3039">
        <v>2.09</v>
      </c>
    </row>
    <row r="3040" spans="1:18" ht="15.75" x14ac:dyDescent="0.25">
      <c r="A3040" s="2">
        <v>10188714</v>
      </c>
      <c r="B3040">
        <v>10188714</v>
      </c>
      <c r="C3040" t="str">
        <f t="shared" si="72"/>
        <v>Link</v>
      </c>
      <c r="D3040" t="s">
        <v>546</v>
      </c>
      <c r="E3040">
        <v>1.5</v>
      </c>
      <c r="F3040" t="s">
        <v>4175</v>
      </c>
      <c r="G3040">
        <v>0.5</v>
      </c>
      <c r="I3040">
        <v>1</v>
      </c>
      <c r="R3040">
        <v>2.09</v>
      </c>
    </row>
    <row r="3041" spans="1:18" ht="15.75" x14ac:dyDescent="0.25">
      <c r="A3041" s="2">
        <v>10188714</v>
      </c>
      <c r="B3041">
        <v>10188714</v>
      </c>
      <c r="C3041" t="str">
        <f t="shared" si="72"/>
        <v>Link</v>
      </c>
      <c r="D3041" t="s">
        <v>546</v>
      </c>
      <c r="E3041">
        <v>1.5</v>
      </c>
      <c r="F3041" t="s">
        <v>4216</v>
      </c>
      <c r="G3041">
        <v>0.5</v>
      </c>
      <c r="I3041">
        <v>1</v>
      </c>
      <c r="R3041">
        <v>2.09</v>
      </c>
    </row>
    <row r="3042" spans="1:18" ht="15.75" x14ac:dyDescent="0.25">
      <c r="A3042" s="2">
        <v>10188714</v>
      </c>
      <c r="B3042">
        <v>10188714</v>
      </c>
      <c r="C3042" t="str">
        <f t="shared" si="72"/>
        <v>Link</v>
      </c>
      <c r="D3042" t="s">
        <v>546</v>
      </c>
      <c r="E3042">
        <v>1.5</v>
      </c>
      <c r="F3042" t="s">
        <v>4217</v>
      </c>
      <c r="G3042">
        <v>0.5</v>
      </c>
      <c r="I3042">
        <v>1</v>
      </c>
      <c r="R3042">
        <v>2.09</v>
      </c>
    </row>
    <row r="3043" spans="1:18" ht="15.75" x14ac:dyDescent="0.25">
      <c r="A3043" s="2">
        <v>10188714</v>
      </c>
      <c r="B3043">
        <v>10188714</v>
      </c>
      <c r="C3043" t="str">
        <f t="shared" si="72"/>
        <v>Link</v>
      </c>
      <c r="D3043" t="s">
        <v>546</v>
      </c>
      <c r="E3043">
        <v>0.5</v>
      </c>
      <c r="F3043" t="s">
        <v>4218</v>
      </c>
      <c r="G3043">
        <v>0.5</v>
      </c>
    </row>
    <row r="3044" spans="1:18" ht="15.75" x14ac:dyDescent="0.25">
      <c r="A3044" s="2">
        <v>10188714</v>
      </c>
      <c r="B3044">
        <v>10188714</v>
      </c>
      <c r="C3044" t="str">
        <f t="shared" si="72"/>
        <v>Link</v>
      </c>
      <c r="D3044" t="s">
        <v>546</v>
      </c>
      <c r="E3044">
        <v>1.5</v>
      </c>
      <c r="F3044" t="s">
        <v>4219</v>
      </c>
      <c r="G3044">
        <v>0.5</v>
      </c>
      <c r="I3044">
        <v>1</v>
      </c>
      <c r="R3044">
        <v>2.09</v>
      </c>
    </row>
    <row r="3045" spans="1:18" ht="15.75" x14ac:dyDescent="0.25">
      <c r="A3045" s="2">
        <v>10188714</v>
      </c>
      <c r="B3045">
        <v>10188714</v>
      </c>
      <c r="C3045" t="str">
        <f t="shared" si="72"/>
        <v>Link</v>
      </c>
      <c r="D3045" t="s">
        <v>546</v>
      </c>
      <c r="E3045">
        <v>1.5</v>
      </c>
      <c r="F3045" t="s">
        <v>4220</v>
      </c>
      <c r="G3045">
        <v>0.5</v>
      </c>
      <c r="I3045">
        <v>1</v>
      </c>
      <c r="R3045">
        <v>2.09</v>
      </c>
    </row>
    <row r="3046" spans="1:18" ht="15.75" x14ac:dyDescent="0.25">
      <c r="A3046" s="2">
        <v>10188714</v>
      </c>
      <c r="B3046">
        <v>10188714</v>
      </c>
      <c r="C3046" t="str">
        <f t="shared" si="72"/>
        <v>Link</v>
      </c>
      <c r="D3046" t="s">
        <v>546</v>
      </c>
      <c r="E3046">
        <v>1.5</v>
      </c>
      <c r="F3046" t="s">
        <v>4221</v>
      </c>
      <c r="G3046">
        <v>0.5</v>
      </c>
      <c r="I3046">
        <v>1</v>
      </c>
      <c r="R3046">
        <v>2.09</v>
      </c>
    </row>
    <row r="3047" spans="1:18" ht="15.75" x14ac:dyDescent="0.25">
      <c r="A3047" s="2">
        <v>10188714</v>
      </c>
      <c r="B3047">
        <v>10188714</v>
      </c>
      <c r="C3047" t="str">
        <f t="shared" si="72"/>
        <v>Link</v>
      </c>
      <c r="D3047" t="s">
        <v>546</v>
      </c>
      <c r="E3047">
        <v>1.5</v>
      </c>
      <c r="F3047" t="s">
        <v>4222</v>
      </c>
      <c r="G3047">
        <v>0.5</v>
      </c>
      <c r="I3047">
        <v>1</v>
      </c>
      <c r="R3047">
        <v>2.09</v>
      </c>
    </row>
    <row r="3048" spans="1:18" ht="15.75" x14ac:dyDescent="0.25">
      <c r="A3048" s="2">
        <v>10188714</v>
      </c>
      <c r="B3048">
        <v>10188714</v>
      </c>
      <c r="C3048" t="str">
        <f t="shared" si="72"/>
        <v>Link</v>
      </c>
      <c r="D3048" t="s">
        <v>546</v>
      </c>
      <c r="E3048">
        <v>1.5</v>
      </c>
      <c r="F3048" t="s">
        <v>4223</v>
      </c>
      <c r="G3048">
        <v>0.5</v>
      </c>
      <c r="I3048">
        <v>1</v>
      </c>
      <c r="R3048">
        <v>2.09</v>
      </c>
    </row>
    <row r="3049" spans="1:18" ht="15.75" x14ac:dyDescent="0.25">
      <c r="A3049" s="2">
        <v>10188714</v>
      </c>
      <c r="B3049">
        <v>10188714</v>
      </c>
      <c r="C3049" t="str">
        <f t="shared" si="72"/>
        <v>Link</v>
      </c>
      <c r="D3049" t="s">
        <v>546</v>
      </c>
      <c r="E3049">
        <v>0.5</v>
      </c>
      <c r="F3049" t="s">
        <v>4224</v>
      </c>
      <c r="G3049">
        <v>0.5</v>
      </c>
    </row>
    <row r="3050" spans="1:18" ht="15.75" x14ac:dyDescent="0.25">
      <c r="A3050" s="2">
        <v>10188714</v>
      </c>
      <c r="B3050">
        <v>10188714</v>
      </c>
      <c r="C3050" t="str">
        <f t="shared" si="72"/>
        <v>Link</v>
      </c>
      <c r="D3050" t="s">
        <v>546</v>
      </c>
      <c r="E3050">
        <v>1.5</v>
      </c>
      <c r="F3050" t="s">
        <v>4225</v>
      </c>
      <c r="G3050">
        <v>0.5</v>
      </c>
      <c r="I3050">
        <v>1</v>
      </c>
      <c r="R3050">
        <v>2.09</v>
      </c>
    </row>
    <row r="3051" spans="1:18" ht="15.75" x14ac:dyDescent="0.25">
      <c r="A3051" s="2">
        <v>10188714</v>
      </c>
      <c r="B3051">
        <v>10188714</v>
      </c>
      <c r="C3051" t="str">
        <f t="shared" si="72"/>
        <v>Link</v>
      </c>
      <c r="D3051" t="s">
        <v>546</v>
      </c>
      <c r="E3051">
        <v>1.5</v>
      </c>
      <c r="F3051" t="s">
        <v>4226</v>
      </c>
      <c r="G3051">
        <v>0.5</v>
      </c>
      <c r="I3051">
        <v>1</v>
      </c>
      <c r="R3051">
        <v>2.09</v>
      </c>
    </row>
    <row r="3052" spans="1:18" ht="15.75" x14ac:dyDescent="0.25">
      <c r="A3052" s="2">
        <v>10188714</v>
      </c>
      <c r="B3052">
        <v>10188714</v>
      </c>
      <c r="C3052" t="str">
        <f t="shared" si="72"/>
        <v>Link</v>
      </c>
      <c r="D3052" t="s">
        <v>546</v>
      </c>
      <c r="E3052">
        <v>1.5</v>
      </c>
      <c r="F3052" t="s">
        <v>4227</v>
      </c>
      <c r="G3052">
        <v>0.5</v>
      </c>
      <c r="I3052">
        <v>1</v>
      </c>
      <c r="R3052">
        <v>2.09</v>
      </c>
    </row>
    <row r="3053" spans="1:18" ht="15.75" x14ac:dyDescent="0.25">
      <c r="A3053" s="2">
        <v>10188714</v>
      </c>
      <c r="B3053">
        <v>10188714</v>
      </c>
      <c r="C3053" t="str">
        <f t="shared" si="72"/>
        <v>Link</v>
      </c>
      <c r="D3053" t="s">
        <v>546</v>
      </c>
      <c r="E3053">
        <v>1.5</v>
      </c>
      <c r="F3053" t="s">
        <v>4228</v>
      </c>
      <c r="G3053">
        <v>0.5</v>
      </c>
      <c r="I3053">
        <v>1</v>
      </c>
      <c r="R3053">
        <v>2.09</v>
      </c>
    </row>
    <row r="3054" spans="1:18" ht="15.75" x14ac:dyDescent="0.25">
      <c r="A3054" s="2">
        <v>10188714</v>
      </c>
      <c r="B3054">
        <v>10188714</v>
      </c>
      <c r="C3054" t="str">
        <f t="shared" si="72"/>
        <v>Link</v>
      </c>
      <c r="D3054" t="s">
        <v>546</v>
      </c>
      <c r="E3054">
        <v>1.5</v>
      </c>
      <c r="F3054" t="s">
        <v>4229</v>
      </c>
      <c r="G3054">
        <v>0.5</v>
      </c>
      <c r="I3054">
        <v>1</v>
      </c>
      <c r="R3054">
        <v>2.09</v>
      </c>
    </row>
    <row r="3055" spans="1:18" ht="15.75" x14ac:dyDescent="0.25">
      <c r="A3055" s="2">
        <v>10188714</v>
      </c>
      <c r="B3055">
        <v>10188714</v>
      </c>
      <c r="C3055" t="str">
        <f t="shared" si="72"/>
        <v>Link</v>
      </c>
      <c r="D3055" t="s">
        <v>546</v>
      </c>
      <c r="E3055">
        <v>0.5</v>
      </c>
      <c r="F3055" t="s">
        <v>4230</v>
      </c>
      <c r="G3055">
        <v>0.5</v>
      </c>
    </row>
    <row r="3056" spans="1:18" ht="15.75" x14ac:dyDescent="0.25">
      <c r="A3056" s="2">
        <v>10188714</v>
      </c>
      <c r="B3056">
        <v>10188714</v>
      </c>
      <c r="C3056" t="str">
        <f t="shared" si="72"/>
        <v>Link</v>
      </c>
      <c r="D3056" t="s">
        <v>546</v>
      </c>
      <c r="E3056">
        <v>1.5</v>
      </c>
      <c r="F3056" t="s">
        <v>4231</v>
      </c>
      <c r="G3056">
        <v>0.5</v>
      </c>
      <c r="I3056">
        <v>1</v>
      </c>
      <c r="R3056">
        <v>2.09</v>
      </c>
    </row>
    <row r="3057" spans="1:18" ht="15.75" x14ac:dyDescent="0.25">
      <c r="A3057" s="2">
        <v>10188714</v>
      </c>
      <c r="B3057">
        <v>10188714</v>
      </c>
      <c r="C3057" t="str">
        <f t="shared" si="72"/>
        <v>Link</v>
      </c>
      <c r="D3057" t="s">
        <v>546</v>
      </c>
      <c r="E3057">
        <v>1.5</v>
      </c>
      <c r="F3057" t="s">
        <v>4232</v>
      </c>
      <c r="G3057">
        <v>0.5</v>
      </c>
      <c r="I3057">
        <v>1</v>
      </c>
      <c r="R3057">
        <v>2.09</v>
      </c>
    </row>
    <row r="3058" spans="1:18" ht="15.75" x14ac:dyDescent="0.25">
      <c r="A3058" s="2">
        <v>10188714</v>
      </c>
      <c r="B3058">
        <v>10188714</v>
      </c>
      <c r="C3058" t="str">
        <f t="shared" si="72"/>
        <v>Link</v>
      </c>
      <c r="D3058" t="s">
        <v>546</v>
      </c>
      <c r="E3058">
        <v>1.5</v>
      </c>
      <c r="F3058" t="s">
        <v>4233</v>
      </c>
      <c r="G3058">
        <v>0.5</v>
      </c>
      <c r="I3058">
        <v>1</v>
      </c>
      <c r="R3058">
        <v>2.09</v>
      </c>
    </row>
    <row r="3059" spans="1:18" ht="15.75" x14ac:dyDescent="0.25">
      <c r="A3059" s="2">
        <v>10188714</v>
      </c>
      <c r="B3059">
        <v>10188714</v>
      </c>
      <c r="C3059" t="str">
        <f t="shared" si="72"/>
        <v>Link</v>
      </c>
      <c r="D3059" t="s">
        <v>546</v>
      </c>
      <c r="E3059">
        <v>1.5</v>
      </c>
      <c r="F3059" t="s">
        <v>4234</v>
      </c>
      <c r="G3059">
        <v>0.5</v>
      </c>
      <c r="I3059">
        <v>1</v>
      </c>
      <c r="R3059">
        <v>2.09</v>
      </c>
    </row>
    <row r="3060" spans="1:18" ht="15.75" x14ac:dyDescent="0.25">
      <c r="A3060" s="2">
        <v>10188714</v>
      </c>
      <c r="B3060">
        <v>10188714</v>
      </c>
      <c r="C3060" t="str">
        <f t="shared" si="72"/>
        <v>Link</v>
      </c>
      <c r="D3060" t="s">
        <v>546</v>
      </c>
      <c r="E3060">
        <v>1.5</v>
      </c>
      <c r="F3060" t="s">
        <v>4235</v>
      </c>
      <c r="G3060">
        <v>0.5</v>
      </c>
      <c r="I3060">
        <v>1</v>
      </c>
      <c r="R3060">
        <v>2.09</v>
      </c>
    </row>
    <row r="3061" spans="1:18" ht="15.75" x14ac:dyDescent="0.25">
      <c r="A3061" s="2">
        <v>10188715</v>
      </c>
      <c r="B3061">
        <v>10188715</v>
      </c>
      <c r="C3061" t="str">
        <f>HYPERLINK("https://ois.dk/map/10188715/sfe", "Link")</f>
        <v>Link</v>
      </c>
      <c r="D3061" t="s">
        <v>541</v>
      </c>
      <c r="E3061">
        <v>0.25</v>
      </c>
      <c r="F3061" t="s">
        <v>4236</v>
      </c>
      <c r="H3061">
        <v>0.25</v>
      </c>
    </row>
    <row r="3062" spans="1:18" ht="15.75" x14ac:dyDescent="0.25">
      <c r="A3062" s="2">
        <v>10188715</v>
      </c>
      <c r="B3062">
        <v>10188715</v>
      </c>
      <c r="C3062" t="str">
        <f>HYPERLINK("https://ois.dk/map/10188715/sfe", "Link")</f>
        <v>Link</v>
      </c>
      <c r="D3062" t="s">
        <v>541</v>
      </c>
      <c r="E3062">
        <v>0.5</v>
      </c>
      <c r="F3062" t="s">
        <v>4237</v>
      </c>
      <c r="G3062">
        <v>0.5</v>
      </c>
    </row>
    <row r="3063" spans="1:18" ht="15.75" x14ac:dyDescent="0.25">
      <c r="A3063" s="2">
        <v>10188715</v>
      </c>
      <c r="B3063">
        <v>10188715</v>
      </c>
      <c r="C3063" t="str">
        <f>HYPERLINK("https://ois.dk/map/10188715/sfe", "Link")</f>
        <v>Link</v>
      </c>
      <c r="D3063" t="s">
        <v>541</v>
      </c>
      <c r="E3063">
        <v>0.5</v>
      </c>
      <c r="F3063" t="s">
        <v>4238</v>
      </c>
      <c r="G3063">
        <v>0.5</v>
      </c>
    </row>
    <row r="3064" spans="1:18" ht="15.75" x14ac:dyDescent="0.25">
      <c r="A3064" s="2">
        <v>10188715</v>
      </c>
      <c r="B3064">
        <v>10188715</v>
      </c>
      <c r="C3064" t="str">
        <f>HYPERLINK("https://ois.dk/map/10188715/sfe", "Link")</f>
        <v>Link</v>
      </c>
      <c r="D3064" t="s">
        <v>541</v>
      </c>
      <c r="E3064">
        <v>0.5</v>
      </c>
      <c r="F3064" t="s">
        <v>4239</v>
      </c>
      <c r="G3064">
        <v>0.5</v>
      </c>
    </row>
    <row r="3065" spans="1:18" ht="15.75" x14ac:dyDescent="0.25">
      <c r="A3065" s="2">
        <v>100005929</v>
      </c>
      <c r="B3065">
        <v>100005929</v>
      </c>
      <c r="C3065" t="str">
        <f>HYPERLINK("https://ois.dk/map/100005929/sfe", "Link")</f>
        <v>Link</v>
      </c>
      <c r="D3065" t="s">
        <v>4240</v>
      </c>
      <c r="E3065">
        <v>0.5</v>
      </c>
      <c r="F3065" t="s">
        <v>4241</v>
      </c>
      <c r="G3065">
        <v>0.5</v>
      </c>
    </row>
    <row r="3066" spans="1:18" ht="15.75" x14ac:dyDescent="0.25">
      <c r="A3066" s="2">
        <v>100005969</v>
      </c>
      <c r="B3066">
        <v>100005969</v>
      </c>
      <c r="C3066" t="str">
        <f>HYPERLINK("https://ois.dk/map/100005969/sfe", "Link")</f>
        <v>Link</v>
      </c>
      <c r="D3066" t="s">
        <v>4242</v>
      </c>
      <c r="E3066">
        <v>0.5</v>
      </c>
      <c r="F3066" t="s">
        <v>4243</v>
      </c>
      <c r="G3066">
        <v>0.5</v>
      </c>
    </row>
    <row r="3067" spans="1:18" ht="15.75" x14ac:dyDescent="0.25">
      <c r="A3067" s="2">
        <v>100011112</v>
      </c>
      <c r="B3067">
        <v>288145</v>
      </c>
      <c r="C3067" t="str">
        <f>HYPERLINK("https://ois.dk/map/288145/sfe", "Link")</f>
        <v>Link</v>
      </c>
      <c r="D3067" t="s">
        <v>4244</v>
      </c>
      <c r="E3067">
        <v>1.5</v>
      </c>
      <c r="F3067" t="s">
        <v>4245</v>
      </c>
      <c r="G3067">
        <v>0.5</v>
      </c>
      <c r="I3067">
        <v>1</v>
      </c>
      <c r="R3067">
        <v>1.69</v>
      </c>
    </row>
    <row r="3068" spans="1:18" ht="15.75" x14ac:dyDescent="0.25">
      <c r="A3068" s="2">
        <v>100011112</v>
      </c>
      <c r="B3068">
        <v>288146</v>
      </c>
      <c r="C3068" t="str">
        <f>HYPERLINK("https://ois.dk/map/288146/sfe", "Link")</f>
        <v>Link</v>
      </c>
      <c r="D3068" t="s">
        <v>4244</v>
      </c>
      <c r="E3068">
        <v>1.5</v>
      </c>
      <c r="F3068" t="s">
        <v>4246</v>
      </c>
      <c r="G3068">
        <v>0.5</v>
      </c>
      <c r="I3068">
        <v>1</v>
      </c>
      <c r="R3068">
        <v>1.73</v>
      </c>
    </row>
    <row r="3069" spans="1:18" ht="15.75" x14ac:dyDescent="0.25">
      <c r="A3069" s="2">
        <v>100011112</v>
      </c>
      <c r="B3069">
        <v>288147</v>
      </c>
      <c r="C3069" t="str">
        <f>HYPERLINK("https://ois.dk/map/288147/sfe", "Link")</f>
        <v>Link</v>
      </c>
      <c r="D3069" t="s">
        <v>4244</v>
      </c>
      <c r="E3069">
        <v>0.5</v>
      </c>
      <c r="F3069" t="s">
        <v>4247</v>
      </c>
      <c r="G3069">
        <v>0.5</v>
      </c>
    </row>
    <row r="3070" spans="1:18" ht="15.75" x14ac:dyDescent="0.25">
      <c r="A3070" s="2">
        <v>100011112</v>
      </c>
      <c r="B3070">
        <v>288148</v>
      </c>
      <c r="C3070" t="str">
        <f>HYPERLINK("https://ois.dk/map/288148/sfe", "Link")</f>
        <v>Link</v>
      </c>
      <c r="D3070" t="s">
        <v>4244</v>
      </c>
      <c r="E3070">
        <v>0.5</v>
      </c>
      <c r="F3070" t="s">
        <v>4248</v>
      </c>
      <c r="G3070">
        <v>0.5</v>
      </c>
    </row>
    <row r="3071" spans="1:18" ht="15.75" x14ac:dyDescent="0.25">
      <c r="A3071" s="2">
        <v>100011112</v>
      </c>
      <c r="B3071">
        <v>288149</v>
      </c>
      <c r="C3071" t="str">
        <f>HYPERLINK("https://ois.dk/map/288149/sfe", "Link")</f>
        <v>Link</v>
      </c>
      <c r="D3071" t="s">
        <v>4244</v>
      </c>
      <c r="E3071">
        <v>0.5</v>
      </c>
      <c r="F3071" t="s">
        <v>4249</v>
      </c>
      <c r="G3071">
        <v>0.5</v>
      </c>
    </row>
    <row r="3072" spans="1:18" ht="15.75" x14ac:dyDescent="0.25">
      <c r="A3072" s="2">
        <v>100011112</v>
      </c>
      <c r="B3072">
        <v>288150</v>
      </c>
      <c r="C3072" t="str">
        <f>HYPERLINK("https://ois.dk/map/288150/sfe", "Link")</f>
        <v>Link</v>
      </c>
      <c r="D3072" t="s">
        <v>4244</v>
      </c>
      <c r="E3072">
        <v>0.5</v>
      </c>
      <c r="F3072" t="s">
        <v>4250</v>
      </c>
      <c r="G3072">
        <v>0.5</v>
      </c>
    </row>
    <row r="3073" spans="1:18" ht="15.75" x14ac:dyDescent="0.25">
      <c r="A3073" s="2">
        <v>100011112</v>
      </c>
      <c r="B3073">
        <v>288151</v>
      </c>
      <c r="C3073" t="str">
        <f>HYPERLINK("https://ois.dk/map/288151/sfe", "Link")</f>
        <v>Link</v>
      </c>
      <c r="D3073" t="s">
        <v>4244</v>
      </c>
      <c r="E3073">
        <v>1.5</v>
      </c>
      <c r="F3073" t="s">
        <v>4251</v>
      </c>
      <c r="G3073">
        <v>0.5</v>
      </c>
      <c r="I3073">
        <v>1</v>
      </c>
      <c r="R3073">
        <v>1.67</v>
      </c>
    </row>
    <row r="3074" spans="1:18" ht="15.75" x14ac:dyDescent="0.25">
      <c r="A3074" s="2">
        <v>100011112</v>
      </c>
      <c r="B3074">
        <v>288152</v>
      </c>
      <c r="C3074" t="str">
        <f>HYPERLINK("https://ois.dk/map/288152/sfe", "Link")</f>
        <v>Link</v>
      </c>
      <c r="D3074" t="s">
        <v>4244</v>
      </c>
      <c r="E3074">
        <v>1.5</v>
      </c>
      <c r="F3074" t="s">
        <v>4252</v>
      </c>
      <c r="G3074">
        <v>0.5</v>
      </c>
      <c r="I3074">
        <v>1</v>
      </c>
      <c r="R3074">
        <v>1.67</v>
      </c>
    </row>
    <row r="3075" spans="1:18" ht="15.75" x14ac:dyDescent="0.25">
      <c r="A3075" s="2">
        <v>100011112</v>
      </c>
      <c r="B3075">
        <v>288153</v>
      </c>
      <c r="C3075" t="str">
        <f>HYPERLINK("https://ois.dk/map/288153/sfe", "Link")</f>
        <v>Link</v>
      </c>
      <c r="D3075" t="s">
        <v>4244</v>
      </c>
      <c r="E3075">
        <v>1.5</v>
      </c>
      <c r="F3075" t="s">
        <v>4253</v>
      </c>
      <c r="G3075">
        <v>0.5</v>
      </c>
      <c r="I3075">
        <v>1</v>
      </c>
      <c r="R3075">
        <v>1.67</v>
      </c>
    </row>
    <row r="3076" spans="1:18" ht="15.75" x14ac:dyDescent="0.25">
      <c r="A3076" s="2">
        <v>100011112</v>
      </c>
      <c r="B3076">
        <v>288154</v>
      </c>
      <c r="C3076" t="str">
        <f>HYPERLINK("https://ois.dk/map/288154/sfe", "Link")</f>
        <v>Link</v>
      </c>
      <c r="D3076" t="s">
        <v>4244</v>
      </c>
      <c r="E3076">
        <v>1.5</v>
      </c>
      <c r="F3076" t="s">
        <v>4254</v>
      </c>
      <c r="G3076">
        <v>0.5</v>
      </c>
      <c r="I3076">
        <v>1</v>
      </c>
      <c r="R3076">
        <v>1.67</v>
      </c>
    </row>
    <row r="3077" spans="1:18" ht="15.75" x14ac:dyDescent="0.25">
      <c r="A3077" s="2">
        <v>100011112</v>
      </c>
      <c r="B3077">
        <v>288155</v>
      </c>
      <c r="C3077" t="str">
        <f>HYPERLINK("https://ois.dk/map/288155/sfe", "Link")</f>
        <v>Link</v>
      </c>
      <c r="D3077" t="s">
        <v>4244</v>
      </c>
      <c r="E3077">
        <v>0.5</v>
      </c>
      <c r="F3077" t="s">
        <v>4255</v>
      </c>
      <c r="G3077">
        <v>0.5</v>
      </c>
    </row>
    <row r="3078" spans="1:18" ht="15.75" x14ac:dyDescent="0.25">
      <c r="A3078" s="2">
        <v>100011112</v>
      </c>
      <c r="B3078">
        <v>288156</v>
      </c>
      <c r="C3078" t="str">
        <f>HYPERLINK("https://ois.dk/map/288156/sfe", "Link")</f>
        <v>Link</v>
      </c>
      <c r="D3078" t="s">
        <v>4244</v>
      </c>
      <c r="E3078">
        <v>1.5</v>
      </c>
      <c r="F3078" t="s">
        <v>4256</v>
      </c>
      <c r="G3078">
        <v>0.5</v>
      </c>
      <c r="I3078">
        <v>1</v>
      </c>
      <c r="R3078">
        <v>1.69</v>
      </c>
    </row>
    <row r="3079" spans="1:18" ht="15.75" x14ac:dyDescent="0.25">
      <c r="A3079" s="2">
        <v>100011112</v>
      </c>
      <c r="B3079">
        <v>288157</v>
      </c>
      <c r="C3079" t="str">
        <f>HYPERLINK("https://ois.dk/map/288157/sfe", "Link")</f>
        <v>Link</v>
      </c>
      <c r="D3079" t="s">
        <v>4244</v>
      </c>
      <c r="E3079">
        <v>0.5</v>
      </c>
      <c r="F3079" t="s">
        <v>4257</v>
      </c>
      <c r="G3079">
        <v>0.5</v>
      </c>
    </row>
    <row r="3080" spans="1:18" ht="15.75" x14ac:dyDescent="0.25">
      <c r="A3080" s="2">
        <v>100011112</v>
      </c>
      <c r="B3080">
        <v>288158</v>
      </c>
      <c r="C3080" t="str">
        <f>HYPERLINK("https://ois.dk/map/288158/sfe", "Link")</f>
        <v>Link</v>
      </c>
      <c r="D3080" t="s">
        <v>4244</v>
      </c>
      <c r="E3080">
        <v>0.5</v>
      </c>
      <c r="F3080" t="s">
        <v>4258</v>
      </c>
      <c r="G3080">
        <v>0.5</v>
      </c>
    </row>
    <row r="3081" spans="1:18" ht="15.75" x14ac:dyDescent="0.25">
      <c r="A3081" s="2">
        <v>100011112</v>
      </c>
      <c r="B3081">
        <v>288159</v>
      </c>
      <c r="C3081" t="str">
        <f>HYPERLINK("https://ois.dk/map/288159/sfe", "Link")</f>
        <v>Link</v>
      </c>
      <c r="D3081" t="s">
        <v>4244</v>
      </c>
      <c r="E3081">
        <v>0.5</v>
      </c>
      <c r="F3081" t="s">
        <v>4259</v>
      </c>
      <c r="G3081">
        <v>0.5</v>
      </c>
    </row>
    <row r="3082" spans="1:18" ht="15.75" x14ac:dyDescent="0.25">
      <c r="A3082" s="2">
        <v>100011112</v>
      </c>
      <c r="B3082">
        <v>288160</v>
      </c>
      <c r="C3082" t="str">
        <f>HYPERLINK("https://ois.dk/map/288160/sfe", "Link")</f>
        <v>Link</v>
      </c>
      <c r="D3082" t="s">
        <v>4244</v>
      </c>
      <c r="E3082">
        <v>1.5</v>
      </c>
      <c r="F3082" t="s">
        <v>4260</v>
      </c>
      <c r="G3082">
        <v>0.5</v>
      </c>
      <c r="I3082">
        <v>1</v>
      </c>
      <c r="R3082">
        <v>1.66</v>
      </c>
    </row>
    <row r="3083" spans="1:18" ht="15.75" x14ac:dyDescent="0.25">
      <c r="A3083" s="2">
        <v>100011112</v>
      </c>
      <c r="B3083">
        <v>288161</v>
      </c>
      <c r="C3083" t="str">
        <f>HYPERLINK("https://ois.dk/map/288161/sfe", "Link")</f>
        <v>Link</v>
      </c>
      <c r="D3083" t="s">
        <v>4244</v>
      </c>
      <c r="E3083">
        <v>1.5</v>
      </c>
      <c r="F3083" t="s">
        <v>4261</v>
      </c>
      <c r="G3083">
        <v>0.5</v>
      </c>
      <c r="I3083">
        <v>1</v>
      </c>
      <c r="R3083">
        <v>1.66</v>
      </c>
    </row>
    <row r="3084" spans="1:18" ht="15.75" x14ac:dyDescent="0.25">
      <c r="A3084" s="2">
        <v>100011112</v>
      </c>
      <c r="B3084">
        <v>288162</v>
      </c>
      <c r="C3084" t="str">
        <f>HYPERLINK("https://ois.dk/map/288162/sfe", "Link")</f>
        <v>Link</v>
      </c>
      <c r="D3084" t="s">
        <v>4244</v>
      </c>
      <c r="E3084">
        <v>1.5</v>
      </c>
      <c r="F3084" t="s">
        <v>4262</v>
      </c>
      <c r="G3084">
        <v>0.5</v>
      </c>
      <c r="I3084">
        <v>1</v>
      </c>
      <c r="R3084">
        <v>1.66</v>
      </c>
    </row>
    <row r="3085" spans="1:18" ht="15.75" x14ac:dyDescent="0.25">
      <c r="A3085" s="2">
        <v>100011112</v>
      </c>
      <c r="B3085">
        <v>288163</v>
      </c>
      <c r="C3085" t="str">
        <f>HYPERLINK("https://ois.dk/map/288163/sfe", "Link")</f>
        <v>Link</v>
      </c>
      <c r="D3085" t="s">
        <v>4244</v>
      </c>
      <c r="E3085">
        <v>1.5</v>
      </c>
      <c r="F3085" t="s">
        <v>4263</v>
      </c>
      <c r="G3085">
        <v>0.5</v>
      </c>
      <c r="I3085">
        <v>1</v>
      </c>
      <c r="R3085">
        <v>1.66</v>
      </c>
    </row>
    <row r="3086" spans="1:18" ht="15.75" x14ac:dyDescent="0.25">
      <c r="A3086" s="2">
        <v>100011112</v>
      </c>
      <c r="B3086">
        <v>288164</v>
      </c>
      <c r="C3086" t="str">
        <f>HYPERLINK("https://ois.dk/map/288164/sfe", "Link")</f>
        <v>Link</v>
      </c>
      <c r="D3086" t="s">
        <v>4244</v>
      </c>
      <c r="E3086">
        <v>1.5</v>
      </c>
      <c r="F3086" t="s">
        <v>4264</v>
      </c>
      <c r="G3086">
        <v>0.5</v>
      </c>
      <c r="I3086">
        <v>1</v>
      </c>
      <c r="R3086">
        <v>1.66</v>
      </c>
    </row>
    <row r="3087" spans="1:18" ht="15.75" x14ac:dyDescent="0.25">
      <c r="A3087" s="2">
        <v>100011112</v>
      </c>
      <c r="B3087">
        <v>288165</v>
      </c>
      <c r="C3087" t="str">
        <f>HYPERLINK("https://ois.dk/map/288165/sfe", "Link")</f>
        <v>Link</v>
      </c>
      <c r="D3087" t="s">
        <v>4244</v>
      </c>
      <c r="E3087">
        <v>1.5</v>
      </c>
      <c r="F3087" t="s">
        <v>4265</v>
      </c>
      <c r="G3087">
        <v>0.5</v>
      </c>
      <c r="I3087">
        <v>1</v>
      </c>
      <c r="R3087">
        <v>1.66</v>
      </c>
    </row>
    <row r="3088" spans="1:18" ht="15.75" x14ac:dyDescent="0.25">
      <c r="A3088" s="2">
        <v>100011112</v>
      </c>
      <c r="B3088">
        <v>288166</v>
      </c>
      <c r="C3088" t="str">
        <f>HYPERLINK("https://ois.dk/map/288166/sfe", "Link")</f>
        <v>Link</v>
      </c>
      <c r="D3088" t="s">
        <v>4244</v>
      </c>
      <c r="E3088">
        <v>1.5</v>
      </c>
      <c r="F3088" t="s">
        <v>4266</v>
      </c>
      <c r="G3088">
        <v>0.5</v>
      </c>
      <c r="I3088">
        <v>1</v>
      </c>
      <c r="R3088">
        <v>1.66</v>
      </c>
    </row>
    <row r="3089" spans="1:18" ht="15.75" x14ac:dyDescent="0.25">
      <c r="A3089" s="2">
        <v>100011112</v>
      </c>
      <c r="B3089">
        <v>288167</v>
      </c>
      <c r="C3089" t="str">
        <f>HYPERLINK("https://ois.dk/map/288167/sfe", "Link")</f>
        <v>Link</v>
      </c>
      <c r="D3089" t="s">
        <v>4244</v>
      </c>
      <c r="E3089">
        <v>1.5</v>
      </c>
      <c r="F3089" t="s">
        <v>4267</v>
      </c>
      <c r="G3089">
        <v>0.5</v>
      </c>
      <c r="I3089">
        <v>1</v>
      </c>
      <c r="R3089">
        <v>1.69</v>
      </c>
    </row>
    <row r="3090" spans="1:18" ht="15.75" x14ac:dyDescent="0.25">
      <c r="A3090" s="2">
        <v>100011112</v>
      </c>
      <c r="B3090">
        <v>288168</v>
      </c>
      <c r="C3090" t="str">
        <f>HYPERLINK("https://ois.dk/map/288168/sfe", "Link")</f>
        <v>Link</v>
      </c>
      <c r="D3090" t="s">
        <v>4244</v>
      </c>
      <c r="E3090">
        <v>1.5</v>
      </c>
      <c r="F3090" t="s">
        <v>4268</v>
      </c>
      <c r="G3090">
        <v>0.5</v>
      </c>
      <c r="I3090">
        <v>1</v>
      </c>
      <c r="R3090">
        <v>1.66</v>
      </c>
    </row>
    <row r="3091" spans="1:18" ht="15.75" x14ac:dyDescent="0.25">
      <c r="A3091" s="2">
        <v>100011112</v>
      </c>
      <c r="B3091">
        <v>288513</v>
      </c>
      <c r="C3091" t="str">
        <f>HYPERLINK("https://ois.dk/map/288513/sfe", "Link")</f>
        <v>Link</v>
      </c>
      <c r="D3091" t="s">
        <v>4244</v>
      </c>
      <c r="E3091">
        <v>1.5</v>
      </c>
      <c r="F3091" t="s">
        <v>4269</v>
      </c>
      <c r="G3091">
        <v>0.5</v>
      </c>
      <c r="I3091">
        <v>1</v>
      </c>
      <c r="R3091">
        <v>1.66</v>
      </c>
    </row>
    <row r="3092" spans="1:18" ht="15.75" x14ac:dyDescent="0.25">
      <c r="A3092" s="2">
        <v>100011112</v>
      </c>
      <c r="B3092">
        <v>288514</v>
      </c>
      <c r="C3092" t="str">
        <f>HYPERLINK("https://ois.dk/map/288514/sfe", "Link")</f>
        <v>Link</v>
      </c>
      <c r="D3092" t="s">
        <v>4244</v>
      </c>
      <c r="E3092">
        <v>1.5</v>
      </c>
      <c r="F3092" t="s">
        <v>4270</v>
      </c>
      <c r="G3092">
        <v>0.5</v>
      </c>
      <c r="I3092">
        <v>1</v>
      </c>
      <c r="R3092">
        <v>1.66</v>
      </c>
    </row>
    <row r="3093" spans="1:18" ht="15.75" x14ac:dyDescent="0.25">
      <c r="A3093" s="2">
        <v>100011112</v>
      </c>
      <c r="B3093">
        <v>288515</v>
      </c>
      <c r="C3093" t="str">
        <f>HYPERLINK("https://ois.dk/map/288515/sfe", "Link")</f>
        <v>Link</v>
      </c>
      <c r="D3093" t="s">
        <v>4244</v>
      </c>
      <c r="E3093">
        <v>1.5</v>
      </c>
      <c r="F3093" t="s">
        <v>4271</v>
      </c>
      <c r="G3093">
        <v>0.5</v>
      </c>
      <c r="I3093">
        <v>1</v>
      </c>
      <c r="R3093">
        <v>1.66</v>
      </c>
    </row>
    <row r="3094" spans="1:18" ht="15.75" x14ac:dyDescent="0.25">
      <c r="A3094" s="2">
        <v>100011112</v>
      </c>
      <c r="B3094">
        <v>288516</v>
      </c>
      <c r="C3094" t="str">
        <f>HYPERLINK("https://ois.dk/map/288516/sfe", "Link")</f>
        <v>Link</v>
      </c>
      <c r="D3094" t="s">
        <v>4244</v>
      </c>
      <c r="E3094">
        <v>1.5</v>
      </c>
      <c r="F3094" t="s">
        <v>4272</v>
      </c>
      <c r="G3094">
        <v>0.5</v>
      </c>
      <c r="I3094">
        <v>1</v>
      </c>
      <c r="R3094">
        <v>1.66</v>
      </c>
    </row>
    <row r="3095" spans="1:18" ht="15.75" x14ac:dyDescent="0.25">
      <c r="A3095" s="2">
        <v>100011112</v>
      </c>
      <c r="B3095">
        <v>288517</v>
      </c>
      <c r="C3095" t="str">
        <f>HYPERLINK("https://ois.dk/map/288517/sfe", "Link")</f>
        <v>Link</v>
      </c>
      <c r="D3095" t="s">
        <v>4244</v>
      </c>
      <c r="E3095">
        <v>0.5</v>
      </c>
      <c r="F3095" t="s">
        <v>4273</v>
      </c>
      <c r="G3095">
        <v>0.5</v>
      </c>
    </row>
    <row r="3096" spans="1:18" ht="15.75" x14ac:dyDescent="0.25">
      <c r="A3096" s="2">
        <v>100011112</v>
      </c>
      <c r="B3096">
        <v>288518</v>
      </c>
      <c r="C3096" t="str">
        <f>HYPERLINK("https://ois.dk/map/288518/sfe", "Link")</f>
        <v>Link</v>
      </c>
      <c r="D3096" t="s">
        <v>4244</v>
      </c>
      <c r="E3096">
        <v>0.5</v>
      </c>
      <c r="F3096" t="s">
        <v>4274</v>
      </c>
      <c r="G3096">
        <v>0.5</v>
      </c>
    </row>
    <row r="3097" spans="1:18" ht="15.75" x14ac:dyDescent="0.25">
      <c r="A3097" s="2">
        <v>100011112</v>
      </c>
      <c r="B3097">
        <v>288519</v>
      </c>
      <c r="C3097" t="str">
        <f>HYPERLINK("https://ois.dk/map/288519/sfe", "Link")</f>
        <v>Link</v>
      </c>
      <c r="D3097" t="s">
        <v>4244</v>
      </c>
      <c r="E3097">
        <v>0.5</v>
      </c>
      <c r="F3097" t="s">
        <v>4275</v>
      </c>
      <c r="G3097">
        <v>0.5</v>
      </c>
    </row>
    <row r="3098" spans="1:18" ht="15.75" x14ac:dyDescent="0.25">
      <c r="A3098" s="2">
        <v>100011112</v>
      </c>
      <c r="B3098">
        <v>288520</v>
      </c>
      <c r="C3098" t="str">
        <f>HYPERLINK("https://ois.dk/map/288520/sfe", "Link")</f>
        <v>Link</v>
      </c>
      <c r="D3098" t="s">
        <v>4244</v>
      </c>
      <c r="E3098">
        <v>1.5</v>
      </c>
      <c r="F3098" t="s">
        <v>4276</v>
      </c>
      <c r="G3098">
        <v>0.5</v>
      </c>
      <c r="I3098">
        <v>1</v>
      </c>
      <c r="R3098">
        <v>1.73</v>
      </c>
    </row>
    <row r="3099" spans="1:18" ht="15.75" x14ac:dyDescent="0.25">
      <c r="A3099" s="2">
        <v>100011112</v>
      </c>
      <c r="B3099">
        <v>288521</v>
      </c>
      <c r="C3099" t="str">
        <f>HYPERLINK("https://ois.dk/map/288521/sfe", "Link")</f>
        <v>Link</v>
      </c>
      <c r="D3099" t="s">
        <v>4244</v>
      </c>
      <c r="E3099">
        <v>1.5</v>
      </c>
      <c r="F3099" t="s">
        <v>4277</v>
      </c>
      <c r="G3099">
        <v>0.5</v>
      </c>
      <c r="I3099">
        <v>1</v>
      </c>
      <c r="R3099">
        <v>1.73</v>
      </c>
    </row>
    <row r="3100" spans="1:18" ht="15.75" x14ac:dyDescent="0.25">
      <c r="A3100" s="2">
        <v>100011112</v>
      </c>
      <c r="B3100">
        <v>288522</v>
      </c>
      <c r="C3100" t="str">
        <f>HYPERLINK("https://ois.dk/map/288522/sfe", "Link")</f>
        <v>Link</v>
      </c>
      <c r="D3100" t="s">
        <v>4244</v>
      </c>
      <c r="E3100">
        <v>1.5</v>
      </c>
      <c r="F3100" t="s">
        <v>4278</v>
      </c>
      <c r="G3100">
        <v>0.5</v>
      </c>
      <c r="I3100">
        <v>1</v>
      </c>
      <c r="R3100">
        <v>1.73</v>
      </c>
    </row>
    <row r="3101" spans="1:18" ht="15.75" x14ac:dyDescent="0.25">
      <c r="A3101" s="2">
        <v>100011112</v>
      </c>
      <c r="B3101">
        <v>100011112</v>
      </c>
      <c r="C3101" t="str">
        <f>HYPERLINK("https://ois.dk/map/100011112/sfe", "Link")</f>
        <v>Link</v>
      </c>
      <c r="D3101" t="s">
        <v>4244</v>
      </c>
      <c r="E3101">
        <v>0.25</v>
      </c>
      <c r="F3101" t="s">
        <v>4272</v>
      </c>
      <c r="H3101">
        <v>0.25</v>
      </c>
      <c r="R3101">
        <v>1.66</v>
      </c>
    </row>
    <row r="3102" spans="1:18" ht="15.75" x14ac:dyDescent="0.25">
      <c r="A3102" s="2">
        <v>100013235</v>
      </c>
      <c r="B3102">
        <v>100013235</v>
      </c>
      <c r="C3102" t="str">
        <f>HYPERLINK("https://ois.dk/map/100013235/sfe", "Link")</f>
        <v>Link</v>
      </c>
      <c r="D3102" t="s">
        <v>4279</v>
      </c>
      <c r="E3102">
        <v>1.5229999999999999</v>
      </c>
      <c r="G3102">
        <v>0.5</v>
      </c>
      <c r="H3102">
        <v>0.25</v>
      </c>
      <c r="L3102">
        <v>0.77300000000000002</v>
      </c>
    </row>
    <row r="3103" spans="1:18" ht="15.75" x14ac:dyDescent="0.25">
      <c r="A3103" s="2">
        <v>100013236</v>
      </c>
      <c r="B3103">
        <v>100013236</v>
      </c>
      <c r="C3103" t="str">
        <f>HYPERLINK("https://ois.dk/map/100013236/sfe", "Link")</f>
        <v>Link</v>
      </c>
      <c r="D3103" t="s">
        <v>4280</v>
      </c>
      <c r="E3103">
        <v>1.75</v>
      </c>
      <c r="F3103" t="s">
        <v>4281</v>
      </c>
      <c r="G3103">
        <v>0.5</v>
      </c>
      <c r="H3103">
        <v>0.25</v>
      </c>
      <c r="I3103">
        <v>1</v>
      </c>
      <c r="R3103">
        <v>1.94</v>
      </c>
    </row>
    <row r="3104" spans="1:18" ht="15.75" x14ac:dyDescent="0.25">
      <c r="A3104" s="2">
        <v>100013237</v>
      </c>
      <c r="B3104">
        <v>100013237</v>
      </c>
      <c r="C3104" t="str">
        <f>HYPERLINK("https://ois.dk/map/100013237/sfe", "Link")</f>
        <v>Link</v>
      </c>
      <c r="D3104" t="s">
        <v>4282</v>
      </c>
      <c r="E3104">
        <v>1.75</v>
      </c>
      <c r="F3104" t="s">
        <v>4283</v>
      </c>
      <c r="G3104">
        <v>0.5</v>
      </c>
      <c r="H3104">
        <v>0.25</v>
      </c>
      <c r="I3104">
        <v>1</v>
      </c>
      <c r="R3104">
        <v>2.12</v>
      </c>
    </row>
    <row r="3105" spans="1:18" ht="15.75" x14ac:dyDescent="0.25">
      <c r="A3105" s="2">
        <v>100013238</v>
      </c>
      <c r="B3105">
        <v>100013238</v>
      </c>
      <c r="C3105" t="str">
        <f>HYPERLINK("https://ois.dk/map/100013238/sfe", "Link")</f>
        <v>Link</v>
      </c>
      <c r="D3105" t="s">
        <v>4284</v>
      </c>
      <c r="E3105">
        <v>1.75</v>
      </c>
      <c r="F3105" t="s">
        <v>4285</v>
      </c>
      <c r="G3105">
        <v>0.5</v>
      </c>
      <c r="H3105">
        <v>0.25</v>
      </c>
      <c r="I3105">
        <v>1</v>
      </c>
      <c r="R3105">
        <v>2.0699999999999998</v>
      </c>
    </row>
    <row r="3106" spans="1:18" ht="15.75" x14ac:dyDescent="0.25">
      <c r="A3106" s="2">
        <v>100013239</v>
      </c>
      <c r="B3106">
        <v>100013239</v>
      </c>
      <c r="C3106" t="str">
        <f>HYPERLINK("https://ois.dk/map/100013239/sfe", "Link")</f>
        <v>Link</v>
      </c>
      <c r="D3106" t="s">
        <v>4286</v>
      </c>
      <c r="E3106">
        <v>0.75</v>
      </c>
      <c r="F3106" t="s">
        <v>4287</v>
      </c>
      <c r="G3106">
        <v>0.5</v>
      </c>
      <c r="H3106">
        <v>0.25</v>
      </c>
    </row>
    <row r="3107" spans="1:18" ht="15.75" x14ac:dyDescent="0.25">
      <c r="A3107" s="2">
        <v>100013240</v>
      </c>
      <c r="B3107">
        <v>100013240</v>
      </c>
      <c r="C3107" t="str">
        <f>HYPERLINK("https://ois.dk/map/100013240/sfe", "Link")</f>
        <v>Link</v>
      </c>
      <c r="D3107" t="s">
        <v>4288</v>
      </c>
      <c r="E3107">
        <v>0.75</v>
      </c>
      <c r="F3107" t="s">
        <v>4289</v>
      </c>
      <c r="G3107">
        <v>0.5</v>
      </c>
      <c r="H3107">
        <v>0.25</v>
      </c>
    </row>
    <row r="3108" spans="1:18" ht="15.75" x14ac:dyDescent="0.25">
      <c r="A3108" s="2">
        <v>100013241</v>
      </c>
      <c r="B3108">
        <v>100013241</v>
      </c>
      <c r="C3108" t="str">
        <f>HYPERLINK("https://ois.dk/map/100013241/sfe", "Link")</f>
        <v>Link</v>
      </c>
      <c r="D3108" t="s">
        <v>4290</v>
      </c>
      <c r="E3108">
        <v>0.5</v>
      </c>
      <c r="F3108" t="s">
        <v>4291</v>
      </c>
      <c r="G3108">
        <v>0.5</v>
      </c>
    </row>
    <row r="3109" spans="1:18" ht="15.75" x14ac:dyDescent="0.25">
      <c r="A3109" s="2">
        <v>100013242</v>
      </c>
      <c r="B3109">
        <v>100013242</v>
      </c>
      <c r="C3109" t="str">
        <f>HYPERLINK("https://ois.dk/map/100013242/sfe", "Link")</f>
        <v>Link</v>
      </c>
      <c r="D3109" t="s">
        <v>4292</v>
      </c>
      <c r="E3109">
        <v>0.5</v>
      </c>
      <c r="F3109" t="s">
        <v>4293</v>
      </c>
      <c r="G3109">
        <v>0.5</v>
      </c>
    </row>
    <row r="3110" spans="1:18" ht="15.75" x14ac:dyDescent="0.25">
      <c r="A3110" s="2">
        <v>100013243</v>
      </c>
      <c r="B3110">
        <v>100013243</v>
      </c>
      <c r="C3110" t="str">
        <f>HYPERLINK("https://ois.dk/map/100013243/sfe", "Link")</f>
        <v>Link</v>
      </c>
      <c r="D3110" t="s">
        <v>4294</v>
      </c>
      <c r="E3110">
        <v>0.5</v>
      </c>
      <c r="F3110" t="s">
        <v>4295</v>
      </c>
      <c r="G3110">
        <v>0.5</v>
      </c>
    </row>
    <row r="3111" spans="1:18" ht="15.75" x14ac:dyDescent="0.25">
      <c r="A3111" s="2">
        <v>100013244</v>
      </c>
      <c r="B3111">
        <v>100013244</v>
      </c>
      <c r="C3111" t="str">
        <f>HYPERLINK("https://ois.dk/map/100013244/sfe", "Link")</f>
        <v>Link</v>
      </c>
      <c r="D3111" t="s">
        <v>4296</v>
      </c>
      <c r="E3111">
        <v>0.5</v>
      </c>
      <c r="F3111" t="s">
        <v>4297</v>
      </c>
      <c r="G3111">
        <v>0.5</v>
      </c>
    </row>
    <row r="3112" spans="1:18" ht="15.75" x14ac:dyDescent="0.25">
      <c r="A3112" s="2">
        <v>100013245</v>
      </c>
      <c r="B3112">
        <v>100013245</v>
      </c>
      <c r="C3112" t="str">
        <f>HYPERLINK("https://ois.dk/map/100013245/sfe", "Link")</f>
        <v>Link</v>
      </c>
      <c r="D3112" t="s">
        <v>4298</v>
      </c>
      <c r="E3112">
        <v>0.5</v>
      </c>
      <c r="F3112" t="s">
        <v>4299</v>
      </c>
      <c r="G3112">
        <v>0.5</v>
      </c>
    </row>
    <row r="3113" spans="1:18" ht="15.75" x14ac:dyDescent="0.25">
      <c r="A3113" s="2">
        <v>100013246</v>
      </c>
      <c r="B3113">
        <v>100013246</v>
      </c>
      <c r="C3113" t="str">
        <f>HYPERLINK("https://ois.dk/map/100013246/sfe", "Link")</f>
        <v>Link</v>
      </c>
      <c r="D3113" t="s">
        <v>4300</v>
      </c>
      <c r="E3113">
        <v>0.5</v>
      </c>
      <c r="F3113" t="s">
        <v>4301</v>
      </c>
      <c r="G3113">
        <v>0.5</v>
      </c>
    </row>
    <row r="3114" spans="1:18" ht="15.75" x14ac:dyDescent="0.25">
      <c r="A3114" s="2">
        <v>100013247</v>
      </c>
      <c r="B3114">
        <v>100013247</v>
      </c>
      <c r="C3114" t="str">
        <f>HYPERLINK("https://ois.dk/map/100013247/sfe", "Link")</f>
        <v>Link</v>
      </c>
      <c r="D3114" t="s">
        <v>4302</v>
      </c>
      <c r="E3114">
        <v>0.5</v>
      </c>
      <c r="F3114" t="s">
        <v>4303</v>
      </c>
      <c r="G3114">
        <v>0.5</v>
      </c>
    </row>
    <row r="3115" spans="1:18" ht="15.75" x14ac:dyDescent="0.25">
      <c r="A3115" s="2">
        <v>100013248</v>
      </c>
      <c r="B3115">
        <v>100013248</v>
      </c>
      <c r="C3115" t="str">
        <f>HYPERLINK("https://ois.dk/map/100013248/sfe", "Link")</f>
        <v>Link</v>
      </c>
      <c r="D3115" t="s">
        <v>4304</v>
      </c>
      <c r="E3115">
        <v>0.5</v>
      </c>
      <c r="F3115" t="s">
        <v>4305</v>
      </c>
      <c r="G3115">
        <v>0.5</v>
      </c>
    </row>
    <row r="3116" spans="1:18" ht="15.75" x14ac:dyDescent="0.25">
      <c r="A3116" s="2">
        <v>100013249</v>
      </c>
      <c r="B3116">
        <v>100013249</v>
      </c>
      <c r="C3116" t="str">
        <f>HYPERLINK("https://ois.dk/map/100013249/sfe", "Link")</f>
        <v>Link</v>
      </c>
      <c r="D3116" t="s">
        <v>4306</v>
      </c>
      <c r="E3116">
        <v>0.5</v>
      </c>
      <c r="F3116" t="s">
        <v>4307</v>
      </c>
      <c r="G3116">
        <v>0.5</v>
      </c>
    </row>
    <row r="3117" spans="1:18" ht="15.75" x14ac:dyDescent="0.25">
      <c r="A3117" s="2">
        <v>100013250</v>
      </c>
      <c r="B3117">
        <v>100013250</v>
      </c>
      <c r="C3117" t="str">
        <f>HYPERLINK("https://ois.dk/map/100013250/sfe", "Link")</f>
        <v>Link</v>
      </c>
      <c r="D3117" t="s">
        <v>4308</v>
      </c>
      <c r="E3117">
        <v>0.5</v>
      </c>
      <c r="F3117" t="s">
        <v>4309</v>
      </c>
      <c r="G3117">
        <v>0.5</v>
      </c>
    </row>
    <row r="3118" spans="1:18" ht="15.75" x14ac:dyDescent="0.25">
      <c r="A3118" s="2">
        <v>100013251</v>
      </c>
      <c r="B3118">
        <v>100013251</v>
      </c>
      <c r="C3118" t="str">
        <f>HYPERLINK("https://ois.dk/map/100013251/sfe", "Link")</f>
        <v>Link</v>
      </c>
      <c r="D3118" t="s">
        <v>4310</v>
      </c>
      <c r="E3118">
        <v>0.5</v>
      </c>
      <c r="F3118" t="s">
        <v>4311</v>
      </c>
      <c r="G3118">
        <v>0.5</v>
      </c>
    </row>
    <row r="3119" spans="1:18" ht="15.75" x14ac:dyDescent="0.25">
      <c r="A3119" s="2">
        <v>100013252</v>
      </c>
      <c r="B3119">
        <v>100013252</v>
      </c>
      <c r="C3119" t="str">
        <f>HYPERLINK("https://ois.dk/map/100013252/sfe", "Link")</f>
        <v>Link</v>
      </c>
      <c r="D3119" t="s">
        <v>4312</v>
      </c>
      <c r="E3119">
        <v>0.75</v>
      </c>
      <c r="F3119" t="s">
        <v>4313</v>
      </c>
      <c r="G3119">
        <v>0.5</v>
      </c>
      <c r="H3119">
        <v>0.25</v>
      </c>
    </row>
    <row r="3120" spans="1:18" ht="15.75" x14ac:dyDescent="0.25">
      <c r="A3120" s="2">
        <v>100013253</v>
      </c>
      <c r="B3120">
        <v>100013253</v>
      </c>
      <c r="C3120" t="str">
        <f>HYPERLINK("https://ois.dk/map/100013253/sfe", "Link")</f>
        <v>Link</v>
      </c>
      <c r="D3120" t="s">
        <v>4314</v>
      </c>
      <c r="E3120">
        <v>0.75</v>
      </c>
      <c r="F3120" t="s">
        <v>4315</v>
      </c>
      <c r="G3120">
        <v>0.5</v>
      </c>
      <c r="H3120">
        <v>0.25</v>
      </c>
    </row>
    <row r="3121" spans="1:18" ht="15.75" x14ac:dyDescent="0.25">
      <c r="A3121" s="2">
        <v>100013254</v>
      </c>
      <c r="B3121">
        <v>100013254</v>
      </c>
      <c r="C3121" t="str">
        <f>HYPERLINK("https://ois.dk/map/100013254/sfe", "Link")</f>
        <v>Link</v>
      </c>
      <c r="D3121" t="s">
        <v>4316</v>
      </c>
      <c r="E3121">
        <v>0.75</v>
      </c>
      <c r="F3121" t="s">
        <v>4317</v>
      </c>
      <c r="G3121">
        <v>0.5</v>
      </c>
      <c r="H3121">
        <v>0.25</v>
      </c>
    </row>
    <row r="3122" spans="1:18" ht="15.75" x14ac:dyDescent="0.25">
      <c r="A3122" s="2">
        <v>100013255</v>
      </c>
      <c r="B3122">
        <v>100013255</v>
      </c>
      <c r="C3122" t="str">
        <f>HYPERLINK("https://ois.dk/map/100013255/sfe", "Link")</f>
        <v>Link</v>
      </c>
      <c r="D3122" t="s">
        <v>4318</v>
      </c>
      <c r="E3122">
        <v>0.75</v>
      </c>
      <c r="F3122" t="s">
        <v>4319</v>
      </c>
      <c r="G3122">
        <v>0.5</v>
      </c>
      <c r="H3122">
        <v>0.25</v>
      </c>
    </row>
    <row r="3123" spans="1:18" ht="15.75" x14ac:dyDescent="0.25">
      <c r="A3123" s="2">
        <v>100013256</v>
      </c>
      <c r="B3123">
        <v>100013256</v>
      </c>
      <c r="C3123" t="str">
        <f>HYPERLINK("https://ois.dk/map/100013256/sfe", "Link")</f>
        <v>Link</v>
      </c>
      <c r="D3123" t="s">
        <v>4320</v>
      </c>
      <c r="E3123">
        <v>1.75</v>
      </c>
      <c r="F3123" t="s">
        <v>4321</v>
      </c>
      <c r="G3123">
        <v>0.5</v>
      </c>
      <c r="H3123">
        <v>0.25</v>
      </c>
      <c r="I3123">
        <v>1</v>
      </c>
      <c r="R3123">
        <v>2.0099999999999998</v>
      </c>
    </row>
    <row r="3124" spans="1:18" ht="15.75" x14ac:dyDescent="0.25">
      <c r="A3124" s="2">
        <v>100013257</v>
      </c>
      <c r="B3124">
        <v>100013257</v>
      </c>
      <c r="C3124" t="str">
        <f>HYPERLINK("https://ois.dk/map/100013257/sfe", "Link")</f>
        <v>Link</v>
      </c>
      <c r="D3124" t="s">
        <v>4322</v>
      </c>
      <c r="E3124">
        <v>0.75</v>
      </c>
      <c r="F3124" t="s">
        <v>4323</v>
      </c>
      <c r="G3124">
        <v>0.5</v>
      </c>
      <c r="H3124">
        <v>0.25</v>
      </c>
    </row>
    <row r="3125" spans="1:18" ht="15.75" x14ac:dyDescent="0.25">
      <c r="A3125" s="2">
        <v>100013258</v>
      </c>
      <c r="B3125">
        <v>100013258</v>
      </c>
      <c r="C3125" t="str">
        <f>HYPERLINK("https://ois.dk/map/100013258/sfe", "Link")</f>
        <v>Link</v>
      </c>
      <c r="D3125" t="s">
        <v>4324</v>
      </c>
      <c r="E3125">
        <v>0.75</v>
      </c>
      <c r="F3125" t="s">
        <v>4325</v>
      </c>
      <c r="G3125">
        <v>0.5</v>
      </c>
      <c r="H3125">
        <v>0.25</v>
      </c>
    </row>
    <row r="3126" spans="1:18" ht="15.75" x14ac:dyDescent="0.25">
      <c r="A3126" s="2">
        <v>100013259</v>
      </c>
      <c r="B3126">
        <v>100013259</v>
      </c>
      <c r="C3126" t="str">
        <f>HYPERLINK("https://ois.dk/map/100013259/sfe", "Link")</f>
        <v>Link</v>
      </c>
      <c r="D3126" t="s">
        <v>4326</v>
      </c>
      <c r="E3126">
        <v>0.5</v>
      </c>
      <c r="F3126" t="s">
        <v>4327</v>
      </c>
      <c r="G3126">
        <v>0.5</v>
      </c>
    </row>
    <row r="3127" spans="1:18" ht="15.75" x14ac:dyDescent="0.25">
      <c r="A3127" s="2">
        <v>100013260</v>
      </c>
      <c r="B3127">
        <v>100013260</v>
      </c>
      <c r="C3127" t="str">
        <f>HYPERLINK("https://ois.dk/map/100013260/sfe", "Link")</f>
        <v>Link</v>
      </c>
      <c r="D3127" t="s">
        <v>4328</v>
      </c>
      <c r="E3127">
        <v>0.75</v>
      </c>
      <c r="F3127" t="s">
        <v>4329</v>
      </c>
      <c r="G3127">
        <v>0.5</v>
      </c>
      <c r="H3127">
        <v>0.25</v>
      </c>
    </row>
    <row r="3128" spans="1:18" ht="15.75" x14ac:dyDescent="0.25">
      <c r="A3128" s="2">
        <v>100013261</v>
      </c>
      <c r="B3128">
        <v>100013261</v>
      </c>
      <c r="C3128" t="str">
        <f>HYPERLINK("https://ois.dk/map/100013261/sfe", "Link")</f>
        <v>Link</v>
      </c>
      <c r="D3128" t="s">
        <v>4330</v>
      </c>
      <c r="E3128">
        <v>0.5</v>
      </c>
      <c r="F3128" t="s">
        <v>4331</v>
      </c>
      <c r="G3128">
        <v>0.5</v>
      </c>
    </row>
    <row r="3129" spans="1:18" ht="15.75" x14ac:dyDescent="0.25">
      <c r="A3129" s="2">
        <v>100013262</v>
      </c>
      <c r="B3129">
        <v>100013262</v>
      </c>
      <c r="C3129" t="str">
        <f>HYPERLINK("https://ois.dk/map/100013262/sfe", "Link")</f>
        <v>Link</v>
      </c>
      <c r="D3129" t="s">
        <v>4332</v>
      </c>
      <c r="E3129">
        <v>0.5</v>
      </c>
      <c r="F3129" t="s">
        <v>4333</v>
      </c>
      <c r="G3129">
        <v>0.5</v>
      </c>
    </row>
    <row r="3130" spans="1:18" ht="15.75" x14ac:dyDescent="0.25">
      <c r="A3130" s="2">
        <v>100013263</v>
      </c>
      <c r="B3130">
        <v>100013263</v>
      </c>
      <c r="C3130" t="str">
        <f>HYPERLINK("https://ois.dk/map/100013263/sfe", "Link")</f>
        <v>Link</v>
      </c>
      <c r="D3130" t="s">
        <v>4334</v>
      </c>
      <c r="E3130">
        <v>0.5</v>
      </c>
      <c r="F3130" t="s">
        <v>4335</v>
      </c>
      <c r="G3130">
        <v>0.5</v>
      </c>
    </row>
    <row r="3131" spans="1:18" ht="15.75" x14ac:dyDescent="0.25">
      <c r="A3131" s="2">
        <v>100013264</v>
      </c>
      <c r="B3131">
        <v>100013264</v>
      </c>
      <c r="C3131" t="str">
        <f>HYPERLINK("https://ois.dk/map/100013264/sfe", "Link")</f>
        <v>Link</v>
      </c>
      <c r="D3131" t="s">
        <v>4336</v>
      </c>
      <c r="E3131">
        <v>0.5</v>
      </c>
      <c r="F3131" t="s">
        <v>4337</v>
      </c>
      <c r="G3131">
        <v>0.5</v>
      </c>
    </row>
    <row r="3132" spans="1:18" ht="15.75" x14ac:dyDescent="0.25">
      <c r="A3132" s="2">
        <v>100013265</v>
      </c>
      <c r="B3132">
        <v>100013265</v>
      </c>
      <c r="C3132" t="str">
        <f>HYPERLINK("https://ois.dk/map/100013265/sfe", "Link")</f>
        <v>Link</v>
      </c>
      <c r="D3132" t="s">
        <v>4338</v>
      </c>
      <c r="E3132">
        <v>0.5</v>
      </c>
      <c r="F3132" t="s">
        <v>4339</v>
      </c>
      <c r="G3132">
        <v>0.5</v>
      </c>
    </row>
    <row r="3133" spans="1:18" ht="15.75" x14ac:dyDescent="0.25">
      <c r="A3133" s="2">
        <v>100013266</v>
      </c>
      <c r="B3133">
        <v>100013266</v>
      </c>
      <c r="C3133" t="str">
        <f>HYPERLINK("https://ois.dk/map/100013266/sfe", "Link")</f>
        <v>Link</v>
      </c>
      <c r="D3133" t="s">
        <v>4340</v>
      </c>
      <c r="E3133">
        <v>0.75</v>
      </c>
      <c r="F3133" t="s">
        <v>4341</v>
      </c>
      <c r="G3133">
        <v>0.5</v>
      </c>
      <c r="H3133">
        <v>0.25</v>
      </c>
    </row>
    <row r="3134" spans="1:18" ht="15.75" x14ac:dyDescent="0.25">
      <c r="A3134" s="2">
        <v>100013267</v>
      </c>
      <c r="B3134">
        <v>100013267</v>
      </c>
      <c r="C3134" t="str">
        <f>HYPERLINK("https://ois.dk/map/100013267/sfe", "Link")</f>
        <v>Link</v>
      </c>
      <c r="D3134" t="s">
        <v>4342</v>
      </c>
      <c r="E3134">
        <v>0.75</v>
      </c>
      <c r="F3134" t="s">
        <v>4343</v>
      </c>
      <c r="G3134">
        <v>0.5</v>
      </c>
      <c r="H3134">
        <v>0.25</v>
      </c>
    </row>
    <row r="3135" spans="1:18" ht="15.75" x14ac:dyDescent="0.25">
      <c r="A3135" s="2">
        <v>100013268</v>
      </c>
      <c r="B3135">
        <v>100013268</v>
      </c>
      <c r="C3135" t="str">
        <f>HYPERLINK("https://ois.dk/map/100013268/sfe", "Link")</f>
        <v>Link</v>
      </c>
      <c r="D3135" t="s">
        <v>4344</v>
      </c>
      <c r="E3135">
        <v>0.75</v>
      </c>
      <c r="F3135" t="s">
        <v>4345</v>
      </c>
      <c r="G3135">
        <v>0.5</v>
      </c>
      <c r="H3135">
        <v>0.25</v>
      </c>
    </row>
    <row r="3136" spans="1:18" ht="15.75" x14ac:dyDescent="0.25">
      <c r="A3136" s="2">
        <v>100013269</v>
      </c>
      <c r="B3136">
        <v>100013269</v>
      </c>
      <c r="C3136" t="str">
        <f>HYPERLINK("https://ois.dk/map/100013269/sfe", "Link")</f>
        <v>Link</v>
      </c>
      <c r="D3136" t="s">
        <v>4346</v>
      </c>
      <c r="E3136">
        <v>0.75</v>
      </c>
      <c r="F3136" t="s">
        <v>4347</v>
      </c>
      <c r="G3136">
        <v>0.5</v>
      </c>
      <c r="H3136">
        <v>0.25</v>
      </c>
    </row>
    <row r="3137" spans="1:18" ht="15.75" x14ac:dyDescent="0.25">
      <c r="A3137" s="2">
        <v>100013270</v>
      </c>
      <c r="B3137">
        <v>100013270</v>
      </c>
      <c r="C3137" t="str">
        <f>HYPERLINK("https://ois.dk/map/100013270/sfe", "Link")</f>
        <v>Link</v>
      </c>
      <c r="D3137" t="s">
        <v>4348</v>
      </c>
      <c r="E3137">
        <v>0.75</v>
      </c>
      <c r="F3137" t="s">
        <v>4349</v>
      </c>
      <c r="G3137">
        <v>0.5</v>
      </c>
      <c r="H3137">
        <v>0.25</v>
      </c>
    </row>
    <row r="3138" spans="1:18" ht="15.75" x14ac:dyDescent="0.25">
      <c r="A3138" s="2">
        <v>100013271</v>
      </c>
      <c r="B3138">
        <v>100013271</v>
      </c>
      <c r="C3138" t="str">
        <f>HYPERLINK("https://ois.dk/map/100013271/sfe", "Link")</f>
        <v>Link</v>
      </c>
      <c r="D3138" t="s">
        <v>4350</v>
      </c>
      <c r="E3138">
        <v>0.75</v>
      </c>
      <c r="F3138" t="s">
        <v>4351</v>
      </c>
      <c r="G3138">
        <v>0.5</v>
      </c>
      <c r="H3138">
        <v>0.25</v>
      </c>
    </row>
    <row r="3139" spans="1:18" ht="15.75" x14ac:dyDescent="0.25">
      <c r="A3139" s="2">
        <v>100017434</v>
      </c>
      <c r="B3139">
        <v>100017434</v>
      </c>
      <c r="C3139" t="str">
        <f>HYPERLINK("https://ois.dk/map/100017434/sfe", "Link")</f>
        <v>Link</v>
      </c>
      <c r="D3139" t="s">
        <v>1273</v>
      </c>
      <c r="E3139">
        <v>0.78600000000000003</v>
      </c>
      <c r="G3139">
        <v>0.5</v>
      </c>
      <c r="H3139">
        <v>0.25</v>
      </c>
      <c r="L3139">
        <v>3.5999999999999997E-2</v>
      </c>
    </row>
    <row r="3140" spans="1:18" ht="15.75" x14ac:dyDescent="0.25">
      <c r="A3140" s="2">
        <v>100033161</v>
      </c>
      <c r="B3140">
        <v>100033161</v>
      </c>
      <c r="C3140" t="str">
        <f t="shared" ref="C3140:C3165" si="73">HYPERLINK("https://ois.dk/map/100033161/sfe", "Link")</f>
        <v>Link</v>
      </c>
      <c r="D3140" t="s">
        <v>4352</v>
      </c>
      <c r="E3140">
        <v>0.25</v>
      </c>
      <c r="F3140" t="s">
        <v>4353</v>
      </c>
      <c r="H3140">
        <v>0.25</v>
      </c>
      <c r="R3140">
        <v>0.69</v>
      </c>
    </row>
    <row r="3141" spans="1:18" ht="15.75" x14ac:dyDescent="0.25">
      <c r="A3141" s="2">
        <v>100033161</v>
      </c>
      <c r="B3141">
        <v>100033161</v>
      </c>
      <c r="C3141" t="str">
        <f t="shared" si="73"/>
        <v>Link</v>
      </c>
      <c r="D3141" t="s">
        <v>4352</v>
      </c>
      <c r="E3141">
        <v>1.5</v>
      </c>
      <c r="F3141" t="s">
        <v>4354</v>
      </c>
      <c r="G3141">
        <v>0.5</v>
      </c>
      <c r="I3141">
        <v>1</v>
      </c>
      <c r="R3141">
        <v>1.02</v>
      </c>
    </row>
    <row r="3142" spans="1:18" ht="15.75" x14ac:dyDescent="0.25">
      <c r="A3142" s="2">
        <v>100033161</v>
      </c>
      <c r="B3142">
        <v>100033161</v>
      </c>
      <c r="C3142" t="str">
        <f t="shared" si="73"/>
        <v>Link</v>
      </c>
      <c r="D3142" t="s">
        <v>4352</v>
      </c>
      <c r="E3142">
        <v>1.5</v>
      </c>
      <c r="F3142" t="s">
        <v>4355</v>
      </c>
      <c r="G3142">
        <v>0.5</v>
      </c>
      <c r="I3142">
        <v>1</v>
      </c>
      <c r="R3142">
        <v>1.02</v>
      </c>
    </row>
    <row r="3143" spans="1:18" ht="15.75" x14ac:dyDescent="0.25">
      <c r="A3143" s="2">
        <v>100033161</v>
      </c>
      <c r="B3143">
        <v>100033161</v>
      </c>
      <c r="C3143" t="str">
        <f t="shared" si="73"/>
        <v>Link</v>
      </c>
      <c r="D3143" t="s">
        <v>4352</v>
      </c>
      <c r="E3143">
        <v>1.5</v>
      </c>
      <c r="F3143" t="s">
        <v>4356</v>
      </c>
      <c r="G3143">
        <v>0.5</v>
      </c>
      <c r="I3143">
        <v>1</v>
      </c>
      <c r="R3143">
        <v>1.02</v>
      </c>
    </row>
    <row r="3144" spans="1:18" ht="15.75" x14ac:dyDescent="0.25">
      <c r="A3144" s="2">
        <v>100033161</v>
      </c>
      <c r="B3144">
        <v>100033161</v>
      </c>
      <c r="C3144" t="str">
        <f t="shared" si="73"/>
        <v>Link</v>
      </c>
      <c r="D3144" t="s">
        <v>4352</v>
      </c>
      <c r="E3144">
        <v>1.5</v>
      </c>
      <c r="F3144" t="s">
        <v>4357</v>
      </c>
      <c r="G3144">
        <v>0.5</v>
      </c>
      <c r="I3144">
        <v>1</v>
      </c>
      <c r="R3144">
        <v>1.02</v>
      </c>
    </row>
    <row r="3145" spans="1:18" ht="15.75" x14ac:dyDescent="0.25">
      <c r="A3145" s="2">
        <v>100033161</v>
      </c>
      <c r="B3145">
        <v>100033161</v>
      </c>
      <c r="C3145" t="str">
        <f t="shared" si="73"/>
        <v>Link</v>
      </c>
      <c r="D3145" t="s">
        <v>4352</v>
      </c>
      <c r="E3145">
        <v>1.5</v>
      </c>
      <c r="F3145" t="s">
        <v>4358</v>
      </c>
      <c r="G3145">
        <v>0.5</v>
      </c>
      <c r="I3145">
        <v>1</v>
      </c>
      <c r="R3145">
        <v>1</v>
      </c>
    </row>
    <row r="3146" spans="1:18" ht="15.75" x14ac:dyDescent="0.25">
      <c r="A3146" s="2">
        <v>100033161</v>
      </c>
      <c r="B3146">
        <v>100033161</v>
      </c>
      <c r="C3146" t="str">
        <f t="shared" si="73"/>
        <v>Link</v>
      </c>
      <c r="D3146" t="s">
        <v>4352</v>
      </c>
      <c r="E3146">
        <v>1.5</v>
      </c>
      <c r="F3146" t="s">
        <v>4359</v>
      </c>
      <c r="G3146">
        <v>0.5</v>
      </c>
      <c r="I3146">
        <v>1</v>
      </c>
      <c r="R3146">
        <v>1</v>
      </c>
    </row>
    <row r="3147" spans="1:18" ht="15.75" x14ac:dyDescent="0.25">
      <c r="A3147" s="2">
        <v>100033161</v>
      </c>
      <c r="B3147">
        <v>100033161</v>
      </c>
      <c r="C3147" t="str">
        <f t="shared" si="73"/>
        <v>Link</v>
      </c>
      <c r="D3147" t="s">
        <v>4352</v>
      </c>
      <c r="E3147">
        <v>1.5</v>
      </c>
      <c r="F3147" t="s">
        <v>4360</v>
      </c>
      <c r="G3147">
        <v>0.5</v>
      </c>
      <c r="I3147">
        <v>1</v>
      </c>
      <c r="R3147">
        <v>1</v>
      </c>
    </row>
    <row r="3148" spans="1:18" ht="15.75" x14ac:dyDescent="0.25">
      <c r="A3148" s="2">
        <v>100033161</v>
      </c>
      <c r="B3148">
        <v>100033161</v>
      </c>
      <c r="C3148" t="str">
        <f t="shared" si="73"/>
        <v>Link</v>
      </c>
      <c r="D3148" t="s">
        <v>4352</v>
      </c>
      <c r="E3148">
        <v>1.5</v>
      </c>
      <c r="F3148" t="s">
        <v>4361</v>
      </c>
      <c r="G3148">
        <v>0.5</v>
      </c>
      <c r="I3148">
        <v>1</v>
      </c>
      <c r="R3148">
        <v>1</v>
      </c>
    </row>
    <row r="3149" spans="1:18" ht="15.75" x14ac:dyDescent="0.25">
      <c r="A3149" s="2">
        <v>100033161</v>
      </c>
      <c r="B3149">
        <v>100033161</v>
      </c>
      <c r="C3149" t="str">
        <f t="shared" si="73"/>
        <v>Link</v>
      </c>
      <c r="D3149" t="s">
        <v>4352</v>
      </c>
      <c r="E3149">
        <v>1.5</v>
      </c>
      <c r="F3149" t="s">
        <v>4362</v>
      </c>
      <c r="G3149">
        <v>0.5</v>
      </c>
      <c r="I3149">
        <v>1</v>
      </c>
      <c r="R3149">
        <v>1</v>
      </c>
    </row>
    <row r="3150" spans="1:18" ht="15.75" x14ac:dyDescent="0.25">
      <c r="A3150" s="2">
        <v>100033161</v>
      </c>
      <c r="B3150">
        <v>100033161</v>
      </c>
      <c r="C3150" t="str">
        <f t="shared" si="73"/>
        <v>Link</v>
      </c>
      <c r="D3150" t="s">
        <v>4352</v>
      </c>
      <c r="E3150">
        <v>1.5</v>
      </c>
      <c r="F3150" t="s">
        <v>4353</v>
      </c>
      <c r="G3150">
        <v>0.5</v>
      </c>
      <c r="I3150">
        <v>1</v>
      </c>
      <c r="R3150">
        <v>0.91</v>
      </c>
    </row>
    <row r="3151" spans="1:18" ht="15.75" x14ac:dyDescent="0.25">
      <c r="A3151" s="2">
        <v>100033161</v>
      </c>
      <c r="B3151">
        <v>100033161</v>
      </c>
      <c r="C3151" t="str">
        <f t="shared" si="73"/>
        <v>Link</v>
      </c>
      <c r="D3151" t="s">
        <v>4352</v>
      </c>
      <c r="E3151">
        <v>1.5</v>
      </c>
      <c r="F3151" t="s">
        <v>4363</v>
      </c>
      <c r="G3151">
        <v>0.5</v>
      </c>
      <c r="I3151">
        <v>1</v>
      </c>
      <c r="R3151">
        <v>0.91</v>
      </c>
    </row>
    <row r="3152" spans="1:18" ht="15.75" x14ac:dyDescent="0.25">
      <c r="A3152" s="2">
        <v>100033161</v>
      </c>
      <c r="B3152">
        <v>100033161</v>
      </c>
      <c r="C3152" t="str">
        <f t="shared" si="73"/>
        <v>Link</v>
      </c>
      <c r="D3152" t="s">
        <v>4352</v>
      </c>
      <c r="E3152">
        <v>1.5</v>
      </c>
      <c r="F3152" t="s">
        <v>4364</v>
      </c>
      <c r="G3152">
        <v>0.5</v>
      </c>
      <c r="I3152">
        <v>1</v>
      </c>
      <c r="R3152">
        <v>0.91</v>
      </c>
    </row>
    <row r="3153" spans="1:18" ht="15.75" x14ac:dyDescent="0.25">
      <c r="A3153" s="2">
        <v>100033161</v>
      </c>
      <c r="B3153">
        <v>100033161</v>
      </c>
      <c r="C3153" t="str">
        <f t="shared" si="73"/>
        <v>Link</v>
      </c>
      <c r="D3153" t="s">
        <v>4352</v>
      </c>
      <c r="E3153">
        <v>1.5</v>
      </c>
      <c r="F3153" t="s">
        <v>4365</v>
      </c>
      <c r="G3153">
        <v>0.5</v>
      </c>
      <c r="I3153">
        <v>1</v>
      </c>
      <c r="R3153">
        <v>0.91</v>
      </c>
    </row>
    <row r="3154" spans="1:18" ht="15.75" x14ac:dyDescent="0.25">
      <c r="A3154" s="2">
        <v>100033161</v>
      </c>
      <c r="B3154">
        <v>100033161</v>
      </c>
      <c r="C3154" t="str">
        <f t="shared" si="73"/>
        <v>Link</v>
      </c>
      <c r="D3154" t="s">
        <v>4352</v>
      </c>
      <c r="E3154">
        <v>1.5</v>
      </c>
      <c r="F3154" t="s">
        <v>4366</v>
      </c>
      <c r="G3154">
        <v>0.5</v>
      </c>
      <c r="I3154">
        <v>1</v>
      </c>
      <c r="R3154">
        <v>0.91</v>
      </c>
    </row>
    <row r="3155" spans="1:18" ht="15.75" x14ac:dyDescent="0.25">
      <c r="A3155" s="2">
        <v>100033161</v>
      </c>
      <c r="B3155">
        <v>100033161</v>
      </c>
      <c r="C3155" t="str">
        <f t="shared" si="73"/>
        <v>Link</v>
      </c>
      <c r="D3155" t="s">
        <v>4352</v>
      </c>
      <c r="E3155">
        <v>1.5</v>
      </c>
      <c r="F3155" t="s">
        <v>4367</v>
      </c>
      <c r="G3155">
        <v>0.5</v>
      </c>
      <c r="I3155">
        <v>1</v>
      </c>
      <c r="R3155">
        <v>0.69</v>
      </c>
    </row>
    <row r="3156" spans="1:18" ht="15.75" x14ac:dyDescent="0.25">
      <c r="A3156" s="2">
        <v>100033161</v>
      </c>
      <c r="B3156">
        <v>100033161</v>
      </c>
      <c r="C3156" t="str">
        <f t="shared" si="73"/>
        <v>Link</v>
      </c>
      <c r="D3156" t="s">
        <v>4352</v>
      </c>
      <c r="E3156">
        <v>1.5</v>
      </c>
      <c r="F3156" t="s">
        <v>4368</v>
      </c>
      <c r="G3156">
        <v>0.5</v>
      </c>
      <c r="I3156">
        <v>1</v>
      </c>
      <c r="R3156">
        <v>0.69</v>
      </c>
    </row>
    <row r="3157" spans="1:18" ht="15.75" x14ac:dyDescent="0.25">
      <c r="A3157" s="2">
        <v>100033161</v>
      </c>
      <c r="B3157">
        <v>100033161</v>
      </c>
      <c r="C3157" t="str">
        <f t="shared" si="73"/>
        <v>Link</v>
      </c>
      <c r="D3157" t="s">
        <v>4352</v>
      </c>
      <c r="E3157">
        <v>1.5</v>
      </c>
      <c r="F3157" t="s">
        <v>4369</v>
      </c>
      <c r="G3157">
        <v>0.5</v>
      </c>
      <c r="I3157">
        <v>1</v>
      </c>
      <c r="R3157">
        <v>0.69</v>
      </c>
    </row>
    <row r="3158" spans="1:18" ht="15.75" x14ac:dyDescent="0.25">
      <c r="A3158" s="2">
        <v>100033161</v>
      </c>
      <c r="B3158">
        <v>100033161</v>
      </c>
      <c r="C3158" t="str">
        <f t="shared" si="73"/>
        <v>Link</v>
      </c>
      <c r="D3158" t="s">
        <v>4352</v>
      </c>
      <c r="E3158">
        <v>1.5</v>
      </c>
      <c r="F3158" t="s">
        <v>4370</v>
      </c>
      <c r="G3158">
        <v>0.5</v>
      </c>
      <c r="I3158">
        <v>1</v>
      </c>
      <c r="R3158">
        <v>0.69</v>
      </c>
    </row>
    <row r="3159" spans="1:18" ht="15.75" x14ac:dyDescent="0.25">
      <c r="A3159" s="2">
        <v>100033161</v>
      </c>
      <c r="B3159">
        <v>100033161</v>
      </c>
      <c r="C3159" t="str">
        <f t="shared" si="73"/>
        <v>Link</v>
      </c>
      <c r="D3159" t="s">
        <v>4352</v>
      </c>
      <c r="E3159">
        <v>1.5</v>
      </c>
      <c r="F3159" t="s">
        <v>4371</v>
      </c>
      <c r="G3159">
        <v>0.5</v>
      </c>
      <c r="I3159">
        <v>1</v>
      </c>
      <c r="R3159">
        <v>0.89</v>
      </c>
    </row>
    <row r="3160" spans="1:18" ht="15.75" x14ac:dyDescent="0.25">
      <c r="A3160" s="2">
        <v>100033161</v>
      </c>
      <c r="B3160">
        <v>100033161</v>
      </c>
      <c r="C3160" t="str">
        <f t="shared" si="73"/>
        <v>Link</v>
      </c>
      <c r="D3160" t="s">
        <v>4352</v>
      </c>
      <c r="E3160">
        <v>1.5</v>
      </c>
      <c r="F3160" t="s">
        <v>4372</v>
      </c>
      <c r="G3160">
        <v>0.5</v>
      </c>
      <c r="I3160">
        <v>1</v>
      </c>
      <c r="R3160">
        <v>0.89</v>
      </c>
    </row>
    <row r="3161" spans="1:18" ht="15.75" x14ac:dyDescent="0.25">
      <c r="A3161" s="2">
        <v>100033161</v>
      </c>
      <c r="B3161">
        <v>100033161</v>
      </c>
      <c r="C3161" t="str">
        <f t="shared" si="73"/>
        <v>Link</v>
      </c>
      <c r="D3161" t="s">
        <v>4352</v>
      </c>
      <c r="E3161">
        <v>1.5</v>
      </c>
      <c r="F3161" t="s">
        <v>4373</v>
      </c>
      <c r="G3161">
        <v>0.5</v>
      </c>
      <c r="I3161">
        <v>1</v>
      </c>
      <c r="R3161">
        <v>0.89</v>
      </c>
    </row>
    <row r="3162" spans="1:18" ht="15.75" x14ac:dyDescent="0.25">
      <c r="A3162" s="2">
        <v>100033161</v>
      </c>
      <c r="B3162">
        <v>100033161</v>
      </c>
      <c r="C3162" t="str">
        <f t="shared" si="73"/>
        <v>Link</v>
      </c>
      <c r="D3162" t="s">
        <v>4352</v>
      </c>
      <c r="E3162">
        <v>1.5</v>
      </c>
      <c r="F3162" t="s">
        <v>4374</v>
      </c>
      <c r="G3162">
        <v>0.5</v>
      </c>
      <c r="I3162">
        <v>1</v>
      </c>
      <c r="R3162">
        <v>0.89</v>
      </c>
    </row>
    <row r="3163" spans="1:18" ht="15.75" x14ac:dyDescent="0.25">
      <c r="A3163" s="2">
        <v>100033161</v>
      </c>
      <c r="B3163">
        <v>100033161</v>
      </c>
      <c r="C3163" t="str">
        <f t="shared" si="73"/>
        <v>Link</v>
      </c>
      <c r="D3163" t="s">
        <v>4352</v>
      </c>
      <c r="E3163">
        <v>1.5</v>
      </c>
      <c r="F3163" t="s">
        <v>4375</v>
      </c>
      <c r="G3163">
        <v>0.5</v>
      </c>
      <c r="I3163">
        <v>1</v>
      </c>
      <c r="R3163">
        <v>0.89</v>
      </c>
    </row>
    <row r="3164" spans="1:18" ht="15.75" x14ac:dyDescent="0.25">
      <c r="A3164" s="2">
        <v>100033161</v>
      </c>
      <c r="B3164">
        <v>100033161</v>
      </c>
      <c r="C3164" t="str">
        <f t="shared" si="73"/>
        <v>Link</v>
      </c>
      <c r="D3164" t="s">
        <v>4352</v>
      </c>
      <c r="E3164">
        <v>1.5</v>
      </c>
      <c r="F3164" t="s">
        <v>4376</v>
      </c>
      <c r="G3164">
        <v>0.5</v>
      </c>
      <c r="I3164">
        <v>1</v>
      </c>
      <c r="R3164">
        <v>0.89</v>
      </c>
    </row>
    <row r="3165" spans="1:18" ht="15.75" x14ac:dyDescent="0.25">
      <c r="A3165" s="2">
        <v>100033161</v>
      </c>
      <c r="B3165">
        <v>100033161</v>
      </c>
      <c r="C3165" t="str">
        <f t="shared" si="73"/>
        <v>Link</v>
      </c>
      <c r="D3165" t="s">
        <v>4352</v>
      </c>
      <c r="E3165">
        <v>1.5</v>
      </c>
      <c r="F3165" t="s">
        <v>4377</v>
      </c>
      <c r="G3165">
        <v>0.5</v>
      </c>
      <c r="I3165">
        <v>1</v>
      </c>
      <c r="R3165">
        <v>0.97</v>
      </c>
    </row>
    <row r="3166" spans="1:18" ht="15.75" x14ac:dyDescent="0.25">
      <c r="A3166" s="2">
        <v>100033162</v>
      </c>
      <c r="B3166">
        <v>100033162</v>
      </c>
      <c r="C3166" t="str">
        <f>HYPERLINK("https://ois.dk/map/100033162/sfe", "Link")</f>
        <v>Link</v>
      </c>
      <c r="D3166" t="s">
        <v>1274</v>
      </c>
      <c r="E3166">
        <v>1.171</v>
      </c>
      <c r="G3166">
        <v>0.5</v>
      </c>
      <c r="H3166">
        <v>0.25</v>
      </c>
      <c r="L3166">
        <v>0.42099999999999999</v>
      </c>
    </row>
    <row r="3167" spans="1:18" ht="15.75" x14ac:dyDescent="0.25">
      <c r="A3167" s="2">
        <v>100041738</v>
      </c>
      <c r="B3167">
        <v>412161</v>
      </c>
      <c r="C3167" t="str">
        <f>HYPERLINK("https://ois.dk/map/412161/sfe", "Link")</f>
        <v>Link</v>
      </c>
      <c r="D3167" t="s">
        <v>4378</v>
      </c>
      <c r="E3167">
        <v>1.5</v>
      </c>
      <c r="F3167" t="s">
        <v>4379</v>
      </c>
      <c r="G3167">
        <v>0.5</v>
      </c>
      <c r="I3167">
        <v>1</v>
      </c>
      <c r="R3167">
        <v>1.67</v>
      </c>
    </row>
    <row r="3168" spans="1:18" ht="15.75" x14ac:dyDescent="0.25">
      <c r="A3168" s="2">
        <v>100041738</v>
      </c>
      <c r="B3168">
        <v>412162</v>
      </c>
      <c r="C3168" t="str">
        <f>HYPERLINK("https://ois.dk/map/412162/sfe", "Link")</f>
        <v>Link</v>
      </c>
      <c r="D3168" t="s">
        <v>4378</v>
      </c>
      <c r="E3168">
        <v>0.5</v>
      </c>
      <c r="F3168" t="s">
        <v>4380</v>
      </c>
      <c r="G3168">
        <v>0.5</v>
      </c>
    </row>
    <row r="3169" spans="1:18" ht="15.75" x14ac:dyDescent="0.25">
      <c r="A3169" s="2">
        <v>100041738</v>
      </c>
      <c r="B3169">
        <v>412163</v>
      </c>
      <c r="C3169" t="str">
        <f>HYPERLINK("https://ois.dk/map/412163/sfe", "Link")</f>
        <v>Link</v>
      </c>
      <c r="D3169" t="s">
        <v>4378</v>
      </c>
      <c r="E3169">
        <v>1.5</v>
      </c>
      <c r="F3169" t="s">
        <v>4381</v>
      </c>
      <c r="G3169">
        <v>0.5</v>
      </c>
      <c r="I3169">
        <v>1</v>
      </c>
      <c r="R3169">
        <v>1.67</v>
      </c>
    </row>
    <row r="3170" spans="1:18" ht="15.75" x14ac:dyDescent="0.25">
      <c r="A3170" s="2">
        <v>100041738</v>
      </c>
      <c r="B3170">
        <v>412164</v>
      </c>
      <c r="C3170" t="str">
        <f>HYPERLINK("https://ois.dk/map/412164/sfe", "Link")</f>
        <v>Link</v>
      </c>
      <c r="D3170" t="s">
        <v>4378</v>
      </c>
      <c r="E3170">
        <v>0.5</v>
      </c>
      <c r="F3170" t="s">
        <v>4382</v>
      </c>
      <c r="G3170">
        <v>0.5</v>
      </c>
    </row>
    <row r="3171" spans="1:18" ht="15.75" x14ac:dyDescent="0.25">
      <c r="A3171" s="2">
        <v>100041738</v>
      </c>
      <c r="B3171">
        <v>412165</v>
      </c>
      <c r="C3171" t="str">
        <f>HYPERLINK("https://ois.dk/map/412165/sfe", "Link")</f>
        <v>Link</v>
      </c>
      <c r="D3171" t="s">
        <v>4378</v>
      </c>
      <c r="E3171">
        <v>0.5</v>
      </c>
      <c r="F3171" t="s">
        <v>4383</v>
      </c>
      <c r="G3171">
        <v>0.5</v>
      </c>
    </row>
    <row r="3172" spans="1:18" ht="15.75" x14ac:dyDescent="0.25">
      <c r="A3172" s="2">
        <v>100041738</v>
      </c>
      <c r="B3172">
        <v>412166</v>
      </c>
      <c r="C3172" t="str">
        <f>HYPERLINK("https://ois.dk/map/412166/sfe", "Link")</f>
        <v>Link</v>
      </c>
      <c r="D3172" t="s">
        <v>4378</v>
      </c>
      <c r="E3172">
        <v>1.5</v>
      </c>
      <c r="F3172" t="s">
        <v>4384</v>
      </c>
      <c r="G3172">
        <v>0.5</v>
      </c>
      <c r="I3172">
        <v>1</v>
      </c>
      <c r="R3172">
        <v>1.69</v>
      </c>
    </row>
    <row r="3173" spans="1:18" ht="15.75" x14ac:dyDescent="0.25">
      <c r="A3173" s="2">
        <v>100041738</v>
      </c>
      <c r="B3173">
        <v>412167</v>
      </c>
      <c r="C3173" t="str">
        <f>HYPERLINK("https://ois.dk/map/412167/sfe", "Link")</f>
        <v>Link</v>
      </c>
      <c r="D3173" t="s">
        <v>4378</v>
      </c>
      <c r="E3173">
        <v>0.5</v>
      </c>
      <c r="F3173" t="s">
        <v>4385</v>
      </c>
      <c r="G3173">
        <v>0.5</v>
      </c>
    </row>
    <row r="3174" spans="1:18" ht="15.75" x14ac:dyDescent="0.25">
      <c r="A3174" s="2">
        <v>100041738</v>
      </c>
      <c r="B3174">
        <v>412168</v>
      </c>
      <c r="C3174" t="str">
        <f>HYPERLINK("https://ois.dk/map/412168/sfe", "Link")</f>
        <v>Link</v>
      </c>
      <c r="D3174" t="s">
        <v>4378</v>
      </c>
      <c r="E3174">
        <v>1.5</v>
      </c>
      <c r="F3174" t="s">
        <v>4386</v>
      </c>
      <c r="G3174">
        <v>0.5</v>
      </c>
      <c r="I3174">
        <v>1</v>
      </c>
      <c r="R3174">
        <v>1.69</v>
      </c>
    </row>
    <row r="3175" spans="1:18" ht="15.75" x14ac:dyDescent="0.25">
      <c r="A3175" s="2">
        <v>100041738</v>
      </c>
      <c r="B3175">
        <v>412169</v>
      </c>
      <c r="C3175" t="str">
        <f>HYPERLINK("https://ois.dk/map/412169/sfe", "Link")</f>
        <v>Link</v>
      </c>
      <c r="D3175" t="s">
        <v>4378</v>
      </c>
      <c r="E3175">
        <v>0.5</v>
      </c>
      <c r="F3175" t="s">
        <v>4387</v>
      </c>
      <c r="G3175">
        <v>0.5</v>
      </c>
    </row>
    <row r="3176" spans="1:18" ht="15.75" x14ac:dyDescent="0.25">
      <c r="A3176" s="2">
        <v>100041738</v>
      </c>
      <c r="B3176">
        <v>412170</v>
      </c>
      <c r="C3176" t="str">
        <f>HYPERLINK("https://ois.dk/map/412170/sfe", "Link")</f>
        <v>Link</v>
      </c>
      <c r="D3176" t="s">
        <v>4378</v>
      </c>
      <c r="E3176">
        <v>1.5</v>
      </c>
      <c r="F3176" t="s">
        <v>4388</v>
      </c>
      <c r="G3176">
        <v>0.5</v>
      </c>
      <c r="I3176">
        <v>1</v>
      </c>
      <c r="R3176">
        <v>1.69</v>
      </c>
    </row>
    <row r="3177" spans="1:18" ht="15.75" x14ac:dyDescent="0.25">
      <c r="A3177" s="2">
        <v>100041738</v>
      </c>
      <c r="B3177">
        <v>412171</v>
      </c>
      <c r="C3177" t="str">
        <f>HYPERLINK("https://ois.dk/map/412171/sfe", "Link")</f>
        <v>Link</v>
      </c>
      <c r="D3177" t="s">
        <v>4378</v>
      </c>
      <c r="E3177">
        <v>0.5</v>
      </c>
      <c r="F3177" t="s">
        <v>4389</v>
      </c>
      <c r="G3177">
        <v>0.5</v>
      </c>
    </row>
    <row r="3178" spans="1:18" ht="15.75" x14ac:dyDescent="0.25">
      <c r="A3178" s="2">
        <v>100041738</v>
      </c>
      <c r="B3178">
        <v>412172</v>
      </c>
      <c r="C3178" t="str">
        <f>HYPERLINK("https://ois.dk/map/412172/sfe", "Link")</f>
        <v>Link</v>
      </c>
      <c r="D3178" t="s">
        <v>4378</v>
      </c>
      <c r="E3178">
        <v>1.5</v>
      </c>
      <c r="F3178" t="s">
        <v>4390</v>
      </c>
      <c r="G3178">
        <v>0.5</v>
      </c>
      <c r="I3178">
        <v>1</v>
      </c>
      <c r="R3178">
        <v>1.69</v>
      </c>
    </row>
    <row r="3179" spans="1:18" ht="15.75" x14ac:dyDescent="0.25">
      <c r="A3179" s="2">
        <v>100041738</v>
      </c>
      <c r="B3179">
        <v>100041738</v>
      </c>
      <c r="C3179" t="str">
        <f>HYPERLINK("https://ois.dk/map/100041738/sfe", "Link")</f>
        <v>Link</v>
      </c>
      <c r="D3179" t="s">
        <v>4378</v>
      </c>
      <c r="E3179">
        <v>0.25</v>
      </c>
      <c r="F3179" t="s">
        <v>4379</v>
      </c>
      <c r="H3179">
        <v>0.25</v>
      </c>
      <c r="R3179">
        <v>1.67</v>
      </c>
    </row>
    <row r="3180" spans="1:18" ht="15.75" x14ac:dyDescent="0.25">
      <c r="A3180" s="2">
        <v>100041739</v>
      </c>
      <c r="B3180">
        <v>100041739</v>
      </c>
      <c r="C3180" t="str">
        <f>HYPERLINK("https://ois.dk/map/100041739/sfe", "Link")</f>
        <v>Link</v>
      </c>
      <c r="D3180" t="s">
        <v>4391</v>
      </c>
      <c r="E3180">
        <v>0.25</v>
      </c>
      <c r="F3180" t="s">
        <v>4392</v>
      </c>
      <c r="H3180">
        <v>0.25</v>
      </c>
    </row>
    <row r="3181" spans="1:18" ht="15.75" x14ac:dyDescent="0.25">
      <c r="A3181" s="2">
        <v>100041739</v>
      </c>
      <c r="B3181">
        <v>100554784</v>
      </c>
      <c r="C3181" t="str">
        <f>HYPERLINK("https://ois.dk/map/100554784/sfe", "Link")</f>
        <v>Link</v>
      </c>
      <c r="D3181" t="s">
        <v>4391</v>
      </c>
      <c r="E3181">
        <v>0.5</v>
      </c>
      <c r="F3181" t="s">
        <v>4393</v>
      </c>
      <c r="G3181">
        <v>0.5</v>
      </c>
    </row>
    <row r="3182" spans="1:18" ht="15.75" x14ac:dyDescent="0.25">
      <c r="A3182" s="2">
        <v>100041739</v>
      </c>
      <c r="B3182">
        <v>100554785</v>
      </c>
      <c r="C3182" t="str">
        <f>HYPERLINK("https://ois.dk/map/100554785/sfe", "Link")</f>
        <v>Link</v>
      </c>
      <c r="D3182" t="s">
        <v>4391</v>
      </c>
      <c r="E3182">
        <v>0.5</v>
      </c>
      <c r="F3182" t="s">
        <v>4394</v>
      </c>
      <c r="G3182">
        <v>0.5</v>
      </c>
    </row>
    <row r="3183" spans="1:18" ht="15.75" x14ac:dyDescent="0.25">
      <c r="A3183" s="2">
        <v>100041739</v>
      </c>
      <c r="B3183">
        <v>100554829</v>
      </c>
      <c r="C3183" t="str">
        <f>HYPERLINK("https://ois.dk/map/100554829/sfe", "Link")</f>
        <v>Link</v>
      </c>
      <c r="D3183" t="s">
        <v>4391</v>
      </c>
      <c r="E3183">
        <v>0.5</v>
      </c>
      <c r="F3183" t="s">
        <v>4392</v>
      </c>
      <c r="G3183">
        <v>0.5</v>
      </c>
    </row>
    <row r="3184" spans="1:18" ht="15.75" x14ac:dyDescent="0.25">
      <c r="A3184" s="2">
        <v>100041739</v>
      </c>
      <c r="B3184">
        <v>100554830</v>
      </c>
      <c r="C3184" t="str">
        <f>HYPERLINK("https://ois.dk/map/100554830/sfe", "Link")</f>
        <v>Link</v>
      </c>
      <c r="D3184" t="s">
        <v>4391</v>
      </c>
      <c r="E3184">
        <v>0.5</v>
      </c>
      <c r="F3184" t="s">
        <v>4395</v>
      </c>
      <c r="G3184">
        <v>0.5</v>
      </c>
    </row>
    <row r="3185" spans="1:8" ht="15.75" x14ac:dyDescent="0.25">
      <c r="A3185" s="2">
        <v>100041739</v>
      </c>
      <c r="B3185">
        <v>100554832</v>
      </c>
      <c r="C3185" t="str">
        <f>HYPERLINK("https://ois.dk/map/100554832/sfe", "Link")</f>
        <v>Link</v>
      </c>
      <c r="D3185" t="s">
        <v>4391</v>
      </c>
      <c r="E3185">
        <v>0.5</v>
      </c>
      <c r="F3185" t="s">
        <v>4396</v>
      </c>
      <c r="G3185">
        <v>0.5</v>
      </c>
    </row>
    <row r="3186" spans="1:8" ht="15.75" x14ac:dyDescent="0.25">
      <c r="A3186" s="2">
        <v>100041739</v>
      </c>
      <c r="B3186">
        <v>100554834</v>
      </c>
      <c r="C3186" t="str">
        <f>HYPERLINK("https://ois.dk/map/100554834/sfe", "Link")</f>
        <v>Link</v>
      </c>
      <c r="D3186" t="s">
        <v>4391</v>
      </c>
      <c r="E3186">
        <v>0.5</v>
      </c>
      <c r="F3186" t="s">
        <v>4397</v>
      </c>
      <c r="G3186">
        <v>0.5</v>
      </c>
    </row>
    <row r="3187" spans="1:8" ht="15.75" x14ac:dyDescent="0.25">
      <c r="A3187" s="2">
        <v>100041739</v>
      </c>
      <c r="B3187">
        <v>100554835</v>
      </c>
      <c r="C3187" t="str">
        <f>HYPERLINK("https://ois.dk/map/100554835/sfe", "Link")</f>
        <v>Link</v>
      </c>
      <c r="D3187" t="s">
        <v>4391</v>
      </c>
      <c r="E3187">
        <v>0.5</v>
      </c>
      <c r="F3187" t="s">
        <v>4398</v>
      </c>
      <c r="G3187">
        <v>0.5</v>
      </c>
    </row>
    <row r="3188" spans="1:8" ht="15.75" x14ac:dyDescent="0.25">
      <c r="A3188" s="2">
        <v>100041739</v>
      </c>
      <c r="B3188">
        <v>100554836</v>
      </c>
      <c r="C3188" t="str">
        <f>HYPERLINK("https://ois.dk/map/100554836/sfe", "Link")</f>
        <v>Link</v>
      </c>
      <c r="D3188" t="s">
        <v>4391</v>
      </c>
      <c r="E3188">
        <v>0.5</v>
      </c>
      <c r="F3188" t="s">
        <v>4399</v>
      </c>
      <c r="G3188">
        <v>0.5</v>
      </c>
    </row>
    <row r="3189" spans="1:8" ht="15.75" x14ac:dyDescent="0.25">
      <c r="A3189" s="2">
        <v>100041739</v>
      </c>
      <c r="B3189">
        <v>100554837</v>
      </c>
      <c r="C3189" t="str">
        <f>HYPERLINK("https://ois.dk/map/100554837/sfe", "Link")</f>
        <v>Link</v>
      </c>
      <c r="D3189" t="s">
        <v>4391</v>
      </c>
      <c r="E3189">
        <v>0.5</v>
      </c>
      <c r="F3189" t="s">
        <v>4400</v>
      </c>
      <c r="G3189">
        <v>0.5</v>
      </c>
    </row>
    <row r="3190" spans="1:8" ht="15.75" x14ac:dyDescent="0.25">
      <c r="A3190" s="2">
        <v>100041740</v>
      </c>
      <c r="B3190">
        <v>100041740</v>
      </c>
      <c r="C3190" t="str">
        <f t="shared" ref="C3190:C3198" si="74">HYPERLINK("https://ois.dk/map/100041740/sfe", "Link")</f>
        <v>Link</v>
      </c>
      <c r="D3190" t="s">
        <v>4401</v>
      </c>
      <c r="E3190">
        <v>0.25</v>
      </c>
      <c r="F3190" t="s">
        <v>4379</v>
      </c>
      <c r="H3190">
        <v>0.25</v>
      </c>
    </row>
    <row r="3191" spans="1:8" ht="15.75" x14ac:dyDescent="0.25">
      <c r="A3191" s="2">
        <v>100041740</v>
      </c>
      <c r="B3191">
        <v>100041740</v>
      </c>
      <c r="C3191" t="str">
        <f t="shared" si="74"/>
        <v>Link</v>
      </c>
      <c r="D3191" t="s">
        <v>4401</v>
      </c>
      <c r="E3191">
        <v>0.5</v>
      </c>
      <c r="F3191" t="s">
        <v>4402</v>
      </c>
      <c r="G3191">
        <v>0.5</v>
      </c>
    </row>
    <row r="3192" spans="1:8" ht="15.75" x14ac:dyDescent="0.25">
      <c r="A3192" s="2">
        <v>100041740</v>
      </c>
      <c r="B3192">
        <v>100041740</v>
      </c>
      <c r="C3192" t="str">
        <f t="shared" si="74"/>
        <v>Link</v>
      </c>
      <c r="D3192" t="s">
        <v>4401</v>
      </c>
      <c r="E3192">
        <v>0.5</v>
      </c>
      <c r="F3192" t="s">
        <v>4403</v>
      </c>
      <c r="G3192">
        <v>0.5</v>
      </c>
    </row>
    <row r="3193" spans="1:8" ht="15.75" x14ac:dyDescent="0.25">
      <c r="A3193" s="2">
        <v>100041740</v>
      </c>
      <c r="B3193">
        <v>100041740</v>
      </c>
      <c r="C3193" t="str">
        <f t="shared" si="74"/>
        <v>Link</v>
      </c>
      <c r="D3193" t="s">
        <v>4401</v>
      </c>
      <c r="E3193">
        <v>0.5</v>
      </c>
      <c r="F3193" t="s">
        <v>4404</v>
      </c>
      <c r="G3193">
        <v>0.5</v>
      </c>
    </row>
    <row r="3194" spans="1:8" ht="15.75" x14ac:dyDescent="0.25">
      <c r="A3194" s="2">
        <v>100041740</v>
      </c>
      <c r="B3194">
        <v>100041740</v>
      </c>
      <c r="C3194" t="str">
        <f t="shared" si="74"/>
        <v>Link</v>
      </c>
      <c r="D3194" t="s">
        <v>4401</v>
      </c>
      <c r="E3194">
        <v>0.5</v>
      </c>
      <c r="F3194" t="s">
        <v>4405</v>
      </c>
      <c r="G3194">
        <v>0.5</v>
      </c>
    </row>
    <row r="3195" spans="1:8" ht="15.75" x14ac:dyDescent="0.25">
      <c r="A3195" s="2">
        <v>100041740</v>
      </c>
      <c r="B3195">
        <v>100041740</v>
      </c>
      <c r="C3195" t="str">
        <f t="shared" si="74"/>
        <v>Link</v>
      </c>
      <c r="D3195" t="s">
        <v>4401</v>
      </c>
      <c r="E3195">
        <v>0.5</v>
      </c>
      <c r="F3195" t="s">
        <v>4406</v>
      </c>
      <c r="G3195">
        <v>0.5</v>
      </c>
    </row>
    <row r="3196" spans="1:8" ht="15.75" x14ac:dyDescent="0.25">
      <c r="A3196" s="2">
        <v>100041740</v>
      </c>
      <c r="B3196">
        <v>100041740</v>
      </c>
      <c r="C3196" t="str">
        <f t="shared" si="74"/>
        <v>Link</v>
      </c>
      <c r="D3196" t="s">
        <v>4401</v>
      </c>
      <c r="E3196">
        <v>0.5</v>
      </c>
      <c r="F3196" t="s">
        <v>4407</v>
      </c>
      <c r="G3196">
        <v>0.5</v>
      </c>
    </row>
    <row r="3197" spans="1:8" ht="15.75" x14ac:dyDescent="0.25">
      <c r="A3197" s="2">
        <v>100041740</v>
      </c>
      <c r="B3197">
        <v>100041740</v>
      </c>
      <c r="C3197" t="str">
        <f t="shared" si="74"/>
        <v>Link</v>
      </c>
      <c r="D3197" t="s">
        <v>4401</v>
      </c>
      <c r="E3197">
        <v>0.5</v>
      </c>
      <c r="F3197" t="s">
        <v>4408</v>
      </c>
      <c r="G3197">
        <v>0.5</v>
      </c>
    </row>
    <row r="3198" spans="1:8" ht="15.75" x14ac:dyDescent="0.25">
      <c r="A3198" s="2">
        <v>100041740</v>
      </c>
      <c r="B3198">
        <v>100041740</v>
      </c>
      <c r="C3198" t="str">
        <f t="shared" si="74"/>
        <v>Link</v>
      </c>
      <c r="D3198" t="s">
        <v>4401</v>
      </c>
      <c r="E3198">
        <v>0.5</v>
      </c>
      <c r="F3198" t="s">
        <v>4409</v>
      </c>
      <c r="G3198">
        <v>0.5</v>
      </c>
    </row>
    <row r="3199" spans="1:8" ht="15.75" x14ac:dyDescent="0.25">
      <c r="A3199" s="2">
        <v>100041741</v>
      </c>
      <c r="B3199">
        <v>100041741</v>
      </c>
      <c r="C3199" t="str">
        <f>HYPERLINK("https://ois.dk/map/100041741/sfe", "Link")</f>
        <v>Link</v>
      </c>
      <c r="D3199" t="s">
        <v>4410</v>
      </c>
      <c r="E3199">
        <v>0.75</v>
      </c>
      <c r="F3199" t="s">
        <v>4411</v>
      </c>
      <c r="G3199">
        <v>0.5</v>
      </c>
      <c r="H3199">
        <v>0.25</v>
      </c>
    </row>
    <row r="3200" spans="1:8" ht="15.75" x14ac:dyDescent="0.25">
      <c r="A3200" s="2">
        <v>100042561</v>
      </c>
      <c r="B3200">
        <v>100042561</v>
      </c>
      <c r="C3200" t="str">
        <f>HYPERLINK("https://ois.dk/map/100042561/sfe", "Link")</f>
        <v>Link</v>
      </c>
      <c r="D3200" t="s">
        <v>4412</v>
      </c>
      <c r="E3200">
        <v>0.75</v>
      </c>
      <c r="F3200" t="s">
        <v>4413</v>
      </c>
      <c r="G3200">
        <v>0.5</v>
      </c>
      <c r="H3200">
        <v>0.25</v>
      </c>
    </row>
    <row r="3201" spans="1:19" ht="15.75" x14ac:dyDescent="0.25">
      <c r="A3201" s="2">
        <v>100070502</v>
      </c>
      <c r="B3201">
        <v>100070502</v>
      </c>
      <c r="C3201" t="str">
        <f>HYPERLINK("https://ois.dk/map/100070502/sfe", "Link")</f>
        <v>Link</v>
      </c>
      <c r="D3201" t="s">
        <v>4414</v>
      </c>
      <c r="E3201">
        <v>0.52400000000000002</v>
      </c>
      <c r="F3201" t="s">
        <v>4415</v>
      </c>
      <c r="G3201">
        <v>0.5</v>
      </c>
      <c r="M3201">
        <v>3.0000000000000001E-3</v>
      </c>
      <c r="N3201">
        <v>2.1000000000000001E-2</v>
      </c>
    </row>
    <row r="3202" spans="1:19" ht="15.75" x14ac:dyDescent="0.25">
      <c r="A3202" s="2">
        <v>100073538</v>
      </c>
      <c r="B3202">
        <v>100073538</v>
      </c>
      <c r="C3202" t="str">
        <f>HYPERLINK("https://ois.dk/map/100073538/sfe", "Link")</f>
        <v>Link</v>
      </c>
      <c r="D3202" t="s">
        <v>4416</v>
      </c>
      <c r="E3202">
        <v>0.5</v>
      </c>
      <c r="F3202" t="s">
        <v>4417</v>
      </c>
      <c r="G3202">
        <v>0.5</v>
      </c>
    </row>
    <row r="3203" spans="1:19" ht="15.75" x14ac:dyDescent="0.25">
      <c r="A3203" s="2">
        <v>100080177</v>
      </c>
      <c r="B3203">
        <v>100080177</v>
      </c>
      <c r="C3203" t="str">
        <f>HYPERLINK("https://ois.dk/map/100080177/sfe", "Link")</f>
        <v>Link</v>
      </c>
      <c r="D3203" t="s">
        <v>4418</v>
      </c>
      <c r="E3203">
        <v>0.5</v>
      </c>
      <c r="F3203" t="s">
        <v>4419</v>
      </c>
      <c r="G3203">
        <v>0.5</v>
      </c>
    </row>
    <row r="3204" spans="1:19" ht="15.75" x14ac:dyDescent="0.25">
      <c r="A3204" s="2">
        <v>100081498</v>
      </c>
      <c r="B3204">
        <v>100081498</v>
      </c>
      <c r="C3204" t="str">
        <f>HYPERLINK("https://ois.dk/map/100081498/sfe", "Link")</f>
        <v>Link</v>
      </c>
      <c r="D3204" t="s">
        <v>4420</v>
      </c>
      <c r="E3204">
        <v>2.0499999999999998</v>
      </c>
      <c r="F3204" t="s">
        <v>4421</v>
      </c>
      <c r="G3204">
        <v>0.5</v>
      </c>
      <c r="H3204">
        <v>0.25</v>
      </c>
      <c r="I3204">
        <v>1</v>
      </c>
      <c r="J3204">
        <v>0.3</v>
      </c>
      <c r="R3204">
        <v>1.79</v>
      </c>
      <c r="S3204">
        <v>1.86</v>
      </c>
    </row>
    <row r="3205" spans="1:19" ht="15.75" x14ac:dyDescent="0.25">
      <c r="A3205" s="2">
        <v>100081951</v>
      </c>
      <c r="B3205">
        <v>100081951</v>
      </c>
      <c r="C3205" t="str">
        <f>HYPERLINK("https://ois.dk/map/100081951/sfe", "Link")</f>
        <v>Link</v>
      </c>
      <c r="D3205" t="s">
        <v>1269</v>
      </c>
      <c r="E3205">
        <v>0.78700000000000003</v>
      </c>
      <c r="G3205">
        <v>0.5</v>
      </c>
      <c r="L3205">
        <v>0.28699999999999998</v>
      </c>
    </row>
    <row r="3206" spans="1:19" ht="15.75" x14ac:dyDescent="0.25">
      <c r="A3206" s="2">
        <v>100088053</v>
      </c>
      <c r="B3206">
        <v>100088053</v>
      </c>
      <c r="C3206" t="str">
        <f>HYPERLINK("https://ois.dk/map/100088053/sfe", "Link")</f>
        <v>Link</v>
      </c>
      <c r="D3206" t="s">
        <v>4422</v>
      </c>
      <c r="E3206">
        <v>0.65700000000000003</v>
      </c>
      <c r="G3206">
        <v>0.5</v>
      </c>
      <c r="M3206">
        <v>0.01</v>
      </c>
      <c r="N3206">
        <v>0.14699999999999999</v>
      </c>
    </row>
    <row r="3207" spans="1:19" ht="15.75" x14ac:dyDescent="0.25">
      <c r="A3207" s="2">
        <v>100093726</v>
      </c>
      <c r="B3207">
        <v>100093726</v>
      </c>
      <c r="C3207" t="str">
        <f>HYPERLINK("https://ois.dk/map/100093726/sfe", "Link")</f>
        <v>Link</v>
      </c>
      <c r="D3207" t="s">
        <v>4423</v>
      </c>
      <c r="E3207">
        <v>0.75</v>
      </c>
      <c r="G3207">
        <v>0.5</v>
      </c>
      <c r="H3207">
        <v>0.25</v>
      </c>
    </row>
    <row r="3208" spans="1:19" ht="15.75" x14ac:dyDescent="0.25">
      <c r="A3208" s="2">
        <v>100093727</v>
      </c>
      <c r="B3208">
        <v>100093727</v>
      </c>
      <c r="C3208" t="str">
        <f>HYPERLINK("https://ois.dk/map/100093727/sfe", "Link")</f>
        <v>Link</v>
      </c>
      <c r="D3208" t="s">
        <v>4424</v>
      </c>
      <c r="E3208">
        <v>0.75</v>
      </c>
      <c r="G3208">
        <v>0.5</v>
      </c>
      <c r="H3208">
        <v>0.25</v>
      </c>
    </row>
    <row r="3209" spans="1:19" ht="15.75" x14ac:dyDescent="0.25">
      <c r="A3209" s="2">
        <v>100093728</v>
      </c>
      <c r="B3209">
        <v>100093728</v>
      </c>
      <c r="C3209" t="str">
        <f>HYPERLINK("https://ois.dk/map/100093728/sfe", "Link")</f>
        <v>Link</v>
      </c>
      <c r="D3209" t="s">
        <v>4425</v>
      </c>
      <c r="E3209">
        <v>0.75</v>
      </c>
      <c r="F3209" t="s">
        <v>4426</v>
      </c>
      <c r="G3209">
        <v>0.5</v>
      </c>
      <c r="H3209">
        <v>0.25</v>
      </c>
    </row>
    <row r="3210" spans="1:19" ht="15.75" x14ac:dyDescent="0.25">
      <c r="A3210" s="2">
        <v>100093729</v>
      </c>
      <c r="B3210">
        <v>100093729</v>
      </c>
      <c r="C3210" t="str">
        <f>HYPERLINK("https://ois.dk/map/100093729/sfe", "Link")</f>
        <v>Link</v>
      </c>
      <c r="D3210" t="s">
        <v>4427</v>
      </c>
      <c r="E3210">
        <v>0.75</v>
      </c>
      <c r="F3210" t="s">
        <v>4428</v>
      </c>
      <c r="G3210">
        <v>0.5</v>
      </c>
      <c r="H3210">
        <v>0.25</v>
      </c>
    </row>
    <row r="3211" spans="1:19" ht="15.75" x14ac:dyDescent="0.25">
      <c r="A3211" s="2">
        <v>100093730</v>
      </c>
      <c r="B3211">
        <v>100093730</v>
      </c>
      <c r="C3211" t="str">
        <f>HYPERLINK("https://ois.dk/map/100093730/sfe", "Link")</f>
        <v>Link</v>
      </c>
      <c r="D3211" t="s">
        <v>4429</v>
      </c>
      <c r="E3211">
        <v>0.75</v>
      </c>
      <c r="F3211" t="s">
        <v>4430</v>
      </c>
      <c r="G3211">
        <v>0.5</v>
      </c>
      <c r="H3211">
        <v>0.25</v>
      </c>
    </row>
    <row r="3212" spans="1:19" ht="15.75" x14ac:dyDescent="0.25">
      <c r="A3212" s="2">
        <v>100093731</v>
      </c>
      <c r="B3212">
        <v>100093731</v>
      </c>
      <c r="C3212" t="str">
        <f>HYPERLINK("https://ois.dk/map/100093731/sfe", "Link")</f>
        <v>Link</v>
      </c>
      <c r="D3212" t="s">
        <v>4431</v>
      </c>
      <c r="E3212">
        <v>0.75</v>
      </c>
      <c r="F3212" t="s">
        <v>4432</v>
      </c>
      <c r="G3212">
        <v>0.5</v>
      </c>
      <c r="H3212">
        <v>0.25</v>
      </c>
    </row>
    <row r="3213" spans="1:19" ht="15.75" x14ac:dyDescent="0.25">
      <c r="A3213" s="2">
        <v>100093732</v>
      </c>
      <c r="B3213">
        <v>100093732</v>
      </c>
      <c r="C3213" t="str">
        <f>HYPERLINK("https://ois.dk/map/100093732/sfe", "Link")</f>
        <v>Link</v>
      </c>
      <c r="D3213" t="s">
        <v>4433</v>
      </c>
      <c r="E3213">
        <v>0.75</v>
      </c>
      <c r="F3213" t="s">
        <v>4434</v>
      </c>
      <c r="G3213">
        <v>0.5</v>
      </c>
      <c r="H3213">
        <v>0.25</v>
      </c>
    </row>
    <row r="3214" spans="1:19" ht="15.75" x14ac:dyDescent="0.25">
      <c r="A3214" s="2">
        <v>100093733</v>
      </c>
      <c r="B3214">
        <v>100093733</v>
      </c>
      <c r="C3214" t="str">
        <f>HYPERLINK("https://ois.dk/map/100093733/sfe", "Link")</f>
        <v>Link</v>
      </c>
      <c r="D3214" t="s">
        <v>4435</v>
      </c>
      <c r="E3214">
        <v>0.75</v>
      </c>
      <c r="F3214" t="s">
        <v>4436</v>
      </c>
      <c r="G3214">
        <v>0.5</v>
      </c>
      <c r="H3214">
        <v>0.25</v>
      </c>
    </row>
    <row r="3215" spans="1:19" ht="15.75" x14ac:dyDescent="0.25">
      <c r="A3215" s="2">
        <v>100093734</v>
      </c>
      <c r="B3215">
        <v>100093734</v>
      </c>
      <c r="C3215" t="str">
        <f>HYPERLINK("https://ois.dk/map/100093734/sfe", "Link")</f>
        <v>Link</v>
      </c>
      <c r="D3215" t="s">
        <v>4437</v>
      </c>
      <c r="E3215">
        <v>0.75</v>
      </c>
      <c r="F3215" t="s">
        <v>4438</v>
      </c>
      <c r="G3215">
        <v>0.5</v>
      </c>
      <c r="H3215">
        <v>0.25</v>
      </c>
    </row>
    <row r="3216" spans="1:19" ht="15.75" x14ac:dyDescent="0.25">
      <c r="A3216" s="2">
        <v>100093735</v>
      </c>
      <c r="B3216">
        <v>100093735</v>
      </c>
      <c r="C3216" t="str">
        <f>HYPERLINK("https://ois.dk/map/100093735/sfe", "Link")</f>
        <v>Link</v>
      </c>
      <c r="D3216" t="s">
        <v>4439</v>
      </c>
      <c r="E3216">
        <v>0.75</v>
      </c>
      <c r="F3216" t="s">
        <v>4440</v>
      </c>
      <c r="G3216">
        <v>0.5</v>
      </c>
      <c r="H3216">
        <v>0.25</v>
      </c>
    </row>
    <row r="3217" spans="1:18" ht="15.75" x14ac:dyDescent="0.25">
      <c r="A3217" s="2">
        <v>100093736</v>
      </c>
      <c r="B3217">
        <v>100093736</v>
      </c>
      <c r="C3217" t="str">
        <f>HYPERLINK("https://ois.dk/map/100093736/sfe", "Link")</f>
        <v>Link</v>
      </c>
      <c r="D3217" t="s">
        <v>4441</v>
      </c>
      <c r="E3217">
        <v>0.75</v>
      </c>
      <c r="F3217" t="s">
        <v>4442</v>
      </c>
      <c r="G3217">
        <v>0.5</v>
      </c>
      <c r="H3217">
        <v>0.25</v>
      </c>
    </row>
    <row r="3218" spans="1:18" ht="15.75" x14ac:dyDescent="0.25">
      <c r="A3218" s="2">
        <v>100093737</v>
      </c>
      <c r="B3218">
        <v>100093737</v>
      </c>
      <c r="C3218" t="str">
        <f>HYPERLINK("https://ois.dk/map/100093737/sfe", "Link")</f>
        <v>Link</v>
      </c>
      <c r="D3218" t="s">
        <v>4443</v>
      </c>
      <c r="E3218">
        <v>0.75</v>
      </c>
      <c r="F3218" t="s">
        <v>4444</v>
      </c>
      <c r="G3218">
        <v>0.5</v>
      </c>
      <c r="H3218">
        <v>0.25</v>
      </c>
    </row>
    <row r="3219" spans="1:18" ht="15.75" x14ac:dyDescent="0.25">
      <c r="A3219" s="2">
        <v>100093738</v>
      </c>
      <c r="B3219">
        <v>100093738</v>
      </c>
      <c r="C3219" t="str">
        <f t="shared" ref="C3219:C3237" si="75">HYPERLINK("https://ois.dk/map/100093738/sfe", "Link")</f>
        <v>Link</v>
      </c>
      <c r="D3219" t="s">
        <v>4445</v>
      </c>
      <c r="E3219">
        <v>0.25</v>
      </c>
      <c r="F3219" t="s">
        <v>4446</v>
      </c>
      <c r="H3219">
        <v>0.25</v>
      </c>
      <c r="R3219">
        <v>1.43</v>
      </c>
    </row>
    <row r="3220" spans="1:18" ht="15.75" x14ac:dyDescent="0.25">
      <c r="A3220" s="2">
        <v>100093738</v>
      </c>
      <c r="B3220">
        <v>100093738</v>
      </c>
      <c r="C3220" t="str">
        <f t="shared" si="75"/>
        <v>Link</v>
      </c>
      <c r="D3220" t="s">
        <v>4445</v>
      </c>
      <c r="E3220">
        <v>0.5</v>
      </c>
      <c r="F3220" t="s">
        <v>4447</v>
      </c>
      <c r="G3220">
        <v>0.5</v>
      </c>
    </row>
    <row r="3221" spans="1:18" ht="15.75" x14ac:dyDescent="0.25">
      <c r="A3221" s="2">
        <v>100093738</v>
      </c>
      <c r="B3221">
        <v>100093738</v>
      </c>
      <c r="C3221" t="str">
        <f t="shared" si="75"/>
        <v>Link</v>
      </c>
      <c r="D3221" t="s">
        <v>4445</v>
      </c>
      <c r="E3221">
        <v>0.5</v>
      </c>
      <c r="F3221" t="s">
        <v>4448</v>
      </c>
      <c r="G3221">
        <v>0.5</v>
      </c>
    </row>
    <row r="3222" spans="1:18" ht="15.75" x14ac:dyDescent="0.25">
      <c r="A3222" s="2">
        <v>100093738</v>
      </c>
      <c r="B3222">
        <v>100093738</v>
      </c>
      <c r="C3222" t="str">
        <f t="shared" si="75"/>
        <v>Link</v>
      </c>
      <c r="D3222" t="s">
        <v>4445</v>
      </c>
      <c r="E3222">
        <v>0.5</v>
      </c>
      <c r="F3222" t="s">
        <v>4449</v>
      </c>
      <c r="G3222">
        <v>0.5</v>
      </c>
    </row>
    <row r="3223" spans="1:18" ht="15.75" x14ac:dyDescent="0.25">
      <c r="A3223" s="2">
        <v>100093738</v>
      </c>
      <c r="B3223">
        <v>100093738</v>
      </c>
      <c r="C3223" t="str">
        <f t="shared" si="75"/>
        <v>Link</v>
      </c>
      <c r="D3223" t="s">
        <v>4445</v>
      </c>
      <c r="E3223">
        <v>0.5</v>
      </c>
      <c r="F3223" t="s">
        <v>4450</v>
      </c>
      <c r="G3223">
        <v>0.5</v>
      </c>
    </row>
    <row r="3224" spans="1:18" ht="15.75" x14ac:dyDescent="0.25">
      <c r="A3224" s="2">
        <v>100093738</v>
      </c>
      <c r="B3224">
        <v>100093738</v>
      </c>
      <c r="C3224" t="str">
        <f t="shared" si="75"/>
        <v>Link</v>
      </c>
      <c r="D3224" t="s">
        <v>4445</v>
      </c>
      <c r="E3224">
        <v>0.5</v>
      </c>
      <c r="F3224" t="s">
        <v>4451</v>
      </c>
      <c r="G3224">
        <v>0.5</v>
      </c>
    </row>
    <row r="3225" spans="1:18" ht="15.75" x14ac:dyDescent="0.25">
      <c r="A3225" s="2">
        <v>100093738</v>
      </c>
      <c r="B3225">
        <v>100093738</v>
      </c>
      <c r="C3225" t="str">
        <f t="shared" si="75"/>
        <v>Link</v>
      </c>
      <c r="D3225" t="s">
        <v>4445</v>
      </c>
      <c r="E3225">
        <v>0.5</v>
      </c>
      <c r="F3225" t="s">
        <v>4452</v>
      </c>
      <c r="G3225">
        <v>0.5</v>
      </c>
    </row>
    <row r="3226" spans="1:18" ht="15.75" x14ac:dyDescent="0.25">
      <c r="A3226" s="2">
        <v>100093738</v>
      </c>
      <c r="B3226">
        <v>100093738</v>
      </c>
      <c r="C3226" t="str">
        <f t="shared" si="75"/>
        <v>Link</v>
      </c>
      <c r="D3226" t="s">
        <v>4445</v>
      </c>
      <c r="E3226">
        <v>0.5</v>
      </c>
      <c r="F3226" t="s">
        <v>4453</v>
      </c>
      <c r="G3226">
        <v>0.5</v>
      </c>
    </row>
    <row r="3227" spans="1:18" ht="15.75" x14ac:dyDescent="0.25">
      <c r="A3227" s="2">
        <v>100093738</v>
      </c>
      <c r="B3227">
        <v>100093738</v>
      </c>
      <c r="C3227" t="str">
        <f t="shared" si="75"/>
        <v>Link</v>
      </c>
      <c r="D3227" t="s">
        <v>4445</v>
      </c>
      <c r="E3227">
        <v>0.5</v>
      </c>
      <c r="F3227" t="s">
        <v>4454</v>
      </c>
      <c r="G3227">
        <v>0.5</v>
      </c>
    </row>
    <row r="3228" spans="1:18" ht="15.75" x14ac:dyDescent="0.25">
      <c r="A3228" s="2">
        <v>100093738</v>
      </c>
      <c r="B3228">
        <v>100093738</v>
      </c>
      <c r="C3228" t="str">
        <f t="shared" si="75"/>
        <v>Link</v>
      </c>
      <c r="D3228" t="s">
        <v>4445</v>
      </c>
      <c r="E3228">
        <v>0.5</v>
      </c>
      <c r="F3228" t="s">
        <v>4455</v>
      </c>
      <c r="G3228">
        <v>0.5</v>
      </c>
    </row>
    <row r="3229" spans="1:18" ht="15.75" x14ac:dyDescent="0.25">
      <c r="A3229" s="2">
        <v>100093738</v>
      </c>
      <c r="B3229">
        <v>100093738</v>
      </c>
      <c r="C3229" t="str">
        <f t="shared" si="75"/>
        <v>Link</v>
      </c>
      <c r="D3229" t="s">
        <v>4445</v>
      </c>
      <c r="E3229">
        <v>0.5</v>
      </c>
      <c r="F3229" t="s">
        <v>4456</v>
      </c>
      <c r="G3229">
        <v>0.5</v>
      </c>
    </row>
    <row r="3230" spans="1:18" ht="15.75" x14ac:dyDescent="0.25">
      <c r="A3230" s="2">
        <v>100093738</v>
      </c>
      <c r="B3230">
        <v>100093738</v>
      </c>
      <c r="C3230" t="str">
        <f t="shared" si="75"/>
        <v>Link</v>
      </c>
      <c r="D3230" t="s">
        <v>4445</v>
      </c>
      <c r="E3230">
        <v>0.5</v>
      </c>
      <c r="F3230" t="s">
        <v>4457</v>
      </c>
      <c r="G3230">
        <v>0.5</v>
      </c>
    </row>
    <row r="3231" spans="1:18" ht="15.75" x14ac:dyDescent="0.25">
      <c r="A3231" s="2">
        <v>100093738</v>
      </c>
      <c r="B3231">
        <v>100093738</v>
      </c>
      <c r="C3231" t="str">
        <f t="shared" si="75"/>
        <v>Link</v>
      </c>
      <c r="D3231" t="s">
        <v>4445</v>
      </c>
      <c r="E3231">
        <v>0.5</v>
      </c>
      <c r="F3231" t="s">
        <v>4458</v>
      </c>
      <c r="G3231">
        <v>0.5</v>
      </c>
    </row>
    <row r="3232" spans="1:18" ht="15.75" x14ac:dyDescent="0.25">
      <c r="A3232" s="2">
        <v>100093738</v>
      </c>
      <c r="B3232">
        <v>100093738</v>
      </c>
      <c r="C3232" t="str">
        <f t="shared" si="75"/>
        <v>Link</v>
      </c>
      <c r="D3232" t="s">
        <v>4445</v>
      </c>
      <c r="E3232">
        <v>0.5</v>
      </c>
      <c r="F3232" t="s">
        <v>4459</v>
      </c>
      <c r="G3232">
        <v>0.5</v>
      </c>
    </row>
    <row r="3233" spans="1:18" ht="15.75" x14ac:dyDescent="0.25">
      <c r="A3233" s="2">
        <v>100093738</v>
      </c>
      <c r="B3233">
        <v>100093738</v>
      </c>
      <c r="C3233" t="str">
        <f t="shared" si="75"/>
        <v>Link</v>
      </c>
      <c r="D3233" t="s">
        <v>4445</v>
      </c>
      <c r="E3233">
        <v>1.5</v>
      </c>
      <c r="F3233" t="s">
        <v>4460</v>
      </c>
      <c r="G3233">
        <v>0.5</v>
      </c>
      <c r="I3233">
        <v>1</v>
      </c>
      <c r="R3233">
        <v>1.43</v>
      </c>
    </row>
    <row r="3234" spans="1:18" ht="15.75" x14ac:dyDescent="0.25">
      <c r="A3234" s="2">
        <v>100093738</v>
      </c>
      <c r="B3234">
        <v>100093738</v>
      </c>
      <c r="C3234" t="str">
        <f t="shared" si="75"/>
        <v>Link</v>
      </c>
      <c r="D3234" t="s">
        <v>4445</v>
      </c>
      <c r="E3234">
        <v>1.5</v>
      </c>
      <c r="F3234" t="s">
        <v>4461</v>
      </c>
      <c r="G3234">
        <v>0.5</v>
      </c>
      <c r="I3234">
        <v>1</v>
      </c>
      <c r="R3234">
        <v>1.43</v>
      </c>
    </row>
    <row r="3235" spans="1:18" ht="15.75" x14ac:dyDescent="0.25">
      <c r="A3235" s="2">
        <v>100093738</v>
      </c>
      <c r="B3235">
        <v>100093738</v>
      </c>
      <c r="C3235" t="str">
        <f t="shared" si="75"/>
        <v>Link</v>
      </c>
      <c r="D3235" t="s">
        <v>4445</v>
      </c>
      <c r="E3235">
        <v>1.5</v>
      </c>
      <c r="F3235" t="s">
        <v>4462</v>
      </c>
      <c r="G3235">
        <v>0.5</v>
      </c>
      <c r="I3235">
        <v>1</v>
      </c>
      <c r="R3235">
        <v>1.43</v>
      </c>
    </row>
    <row r="3236" spans="1:18" ht="15.75" x14ac:dyDescent="0.25">
      <c r="A3236" s="2">
        <v>100093738</v>
      </c>
      <c r="B3236">
        <v>100093738</v>
      </c>
      <c r="C3236" t="str">
        <f t="shared" si="75"/>
        <v>Link</v>
      </c>
      <c r="D3236" t="s">
        <v>4445</v>
      </c>
      <c r="E3236">
        <v>1.5</v>
      </c>
      <c r="F3236" t="s">
        <v>4463</v>
      </c>
      <c r="G3236">
        <v>0.5</v>
      </c>
      <c r="I3236">
        <v>1</v>
      </c>
      <c r="R3236">
        <v>1.43</v>
      </c>
    </row>
    <row r="3237" spans="1:18" ht="15.75" x14ac:dyDescent="0.25">
      <c r="A3237" s="2">
        <v>100093738</v>
      </c>
      <c r="B3237">
        <v>100093738</v>
      </c>
      <c r="C3237" t="str">
        <f t="shared" si="75"/>
        <v>Link</v>
      </c>
      <c r="D3237" t="s">
        <v>4445</v>
      </c>
      <c r="E3237">
        <v>1.5</v>
      </c>
      <c r="F3237" t="s">
        <v>4464</v>
      </c>
      <c r="G3237">
        <v>0.5</v>
      </c>
      <c r="I3237">
        <v>1</v>
      </c>
      <c r="R3237">
        <v>1.43</v>
      </c>
    </row>
    <row r="3238" spans="1:18" ht="15.75" x14ac:dyDescent="0.25">
      <c r="A3238" s="2">
        <v>100093739</v>
      </c>
      <c r="B3238">
        <v>100093739</v>
      </c>
      <c r="C3238" t="str">
        <f t="shared" ref="C3238:C3246" si="76">HYPERLINK("https://ois.dk/map/100093739/sfe", "Link")</f>
        <v>Link</v>
      </c>
      <c r="D3238" t="s">
        <v>4465</v>
      </c>
      <c r="E3238">
        <v>0.25</v>
      </c>
      <c r="F3238" t="s">
        <v>4466</v>
      </c>
      <c r="H3238">
        <v>0.25</v>
      </c>
      <c r="R3238">
        <v>1.28</v>
      </c>
    </row>
    <row r="3239" spans="1:18" ht="15.75" x14ac:dyDescent="0.25">
      <c r="A3239" s="2">
        <v>100093739</v>
      </c>
      <c r="B3239">
        <v>100093739</v>
      </c>
      <c r="C3239" t="str">
        <f t="shared" si="76"/>
        <v>Link</v>
      </c>
      <c r="D3239" t="s">
        <v>4465</v>
      </c>
      <c r="E3239">
        <v>1.5</v>
      </c>
      <c r="F3239" t="s">
        <v>4466</v>
      </c>
      <c r="G3239">
        <v>0.5</v>
      </c>
      <c r="I3239">
        <v>1</v>
      </c>
      <c r="R3239">
        <v>1.28</v>
      </c>
    </row>
    <row r="3240" spans="1:18" ht="15.75" x14ac:dyDescent="0.25">
      <c r="A3240" s="2">
        <v>100093739</v>
      </c>
      <c r="B3240">
        <v>100093739</v>
      </c>
      <c r="C3240" t="str">
        <f t="shared" si="76"/>
        <v>Link</v>
      </c>
      <c r="D3240" t="s">
        <v>4465</v>
      </c>
      <c r="E3240">
        <v>1.5</v>
      </c>
      <c r="F3240" t="s">
        <v>4467</v>
      </c>
      <c r="G3240">
        <v>0.5</v>
      </c>
      <c r="I3240">
        <v>1</v>
      </c>
      <c r="R3240">
        <v>1.28</v>
      </c>
    </row>
    <row r="3241" spans="1:18" ht="15.75" x14ac:dyDescent="0.25">
      <c r="A3241" s="2">
        <v>100093739</v>
      </c>
      <c r="B3241">
        <v>100093739</v>
      </c>
      <c r="C3241" t="str">
        <f t="shared" si="76"/>
        <v>Link</v>
      </c>
      <c r="D3241" t="s">
        <v>4465</v>
      </c>
      <c r="E3241">
        <v>1.5</v>
      </c>
      <c r="F3241" t="s">
        <v>4468</v>
      </c>
      <c r="G3241">
        <v>0.5</v>
      </c>
      <c r="I3241">
        <v>1</v>
      </c>
      <c r="R3241">
        <v>1.28</v>
      </c>
    </row>
    <row r="3242" spans="1:18" ht="15.75" x14ac:dyDescent="0.25">
      <c r="A3242" s="2">
        <v>100093739</v>
      </c>
      <c r="B3242">
        <v>100093739</v>
      </c>
      <c r="C3242" t="str">
        <f t="shared" si="76"/>
        <v>Link</v>
      </c>
      <c r="D3242" t="s">
        <v>4465</v>
      </c>
      <c r="E3242">
        <v>1.5</v>
      </c>
      <c r="F3242" t="s">
        <v>4469</v>
      </c>
      <c r="G3242">
        <v>0.5</v>
      </c>
      <c r="I3242">
        <v>1</v>
      </c>
      <c r="R3242">
        <v>1.28</v>
      </c>
    </row>
    <row r="3243" spans="1:18" ht="15.75" x14ac:dyDescent="0.25">
      <c r="A3243" s="2">
        <v>100093739</v>
      </c>
      <c r="B3243">
        <v>100093739</v>
      </c>
      <c r="C3243" t="str">
        <f t="shared" si="76"/>
        <v>Link</v>
      </c>
      <c r="D3243" t="s">
        <v>4465</v>
      </c>
      <c r="E3243">
        <v>1.5</v>
      </c>
      <c r="F3243" t="s">
        <v>4470</v>
      </c>
      <c r="G3243">
        <v>0.5</v>
      </c>
      <c r="I3243">
        <v>1</v>
      </c>
      <c r="R3243">
        <v>1.41</v>
      </c>
    </row>
    <row r="3244" spans="1:18" ht="15.75" x14ac:dyDescent="0.25">
      <c r="A3244" s="2">
        <v>100093739</v>
      </c>
      <c r="B3244">
        <v>100093739</v>
      </c>
      <c r="C3244" t="str">
        <f t="shared" si="76"/>
        <v>Link</v>
      </c>
      <c r="D3244" t="s">
        <v>4465</v>
      </c>
      <c r="E3244">
        <v>1.5</v>
      </c>
      <c r="F3244" t="s">
        <v>4471</v>
      </c>
      <c r="G3244">
        <v>0.5</v>
      </c>
      <c r="I3244">
        <v>1</v>
      </c>
      <c r="R3244">
        <v>1.41</v>
      </c>
    </row>
    <row r="3245" spans="1:18" ht="15.75" x14ac:dyDescent="0.25">
      <c r="A3245" s="2">
        <v>100093739</v>
      </c>
      <c r="B3245">
        <v>100093739</v>
      </c>
      <c r="C3245" t="str">
        <f t="shared" si="76"/>
        <v>Link</v>
      </c>
      <c r="D3245" t="s">
        <v>4465</v>
      </c>
      <c r="E3245">
        <v>1.5</v>
      </c>
      <c r="F3245" t="s">
        <v>4472</v>
      </c>
      <c r="G3245">
        <v>0.5</v>
      </c>
      <c r="I3245">
        <v>1</v>
      </c>
      <c r="R3245">
        <v>1.41</v>
      </c>
    </row>
    <row r="3246" spans="1:18" ht="15.75" x14ac:dyDescent="0.25">
      <c r="A3246" s="2">
        <v>100093739</v>
      </c>
      <c r="B3246">
        <v>100093739</v>
      </c>
      <c r="C3246" t="str">
        <f t="shared" si="76"/>
        <v>Link</v>
      </c>
      <c r="D3246" t="s">
        <v>4465</v>
      </c>
      <c r="E3246">
        <v>1.5</v>
      </c>
      <c r="F3246" t="s">
        <v>4473</v>
      </c>
      <c r="G3246">
        <v>0.5</v>
      </c>
      <c r="I3246">
        <v>1</v>
      </c>
      <c r="R3246">
        <v>1.41</v>
      </c>
    </row>
    <row r="3247" spans="1:18" ht="15.75" x14ac:dyDescent="0.25">
      <c r="A3247" s="2">
        <v>100093740</v>
      </c>
      <c r="B3247">
        <v>100093740</v>
      </c>
      <c r="C3247" t="str">
        <f t="shared" ref="C3247:C3253" si="77">HYPERLINK("https://ois.dk/map/100093740/sfe", "Link")</f>
        <v>Link</v>
      </c>
      <c r="D3247" t="s">
        <v>4474</v>
      </c>
      <c r="E3247">
        <v>0.25</v>
      </c>
      <c r="F3247" t="s">
        <v>4475</v>
      </c>
      <c r="H3247">
        <v>0.25</v>
      </c>
    </row>
    <row r="3248" spans="1:18" ht="15.75" x14ac:dyDescent="0.25">
      <c r="A3248" s="2">
        <v>100093740</v>
      </c>
      <c r="B3248">
        <v>100093740</v>
      </c>
      <c r="C3248" t="str">
        <f t="shared" si="77"/>
        <v>Link</v>
      </c>
      <c r="D3248" t="s">
        <v>4474</v>
      </c>
      <c r="E3248">
        <v>0.5</v>
      </c>
      <c r="F3248" t="s">
        <v>4476</v>
      </c>
      <c r="G3248">
        <v>0.5</v>
      </c>
    </row>
    <row r="3249" spans="1:8" ht="15.75" x14ac:dyDescent="0.25">
      <c r="A3249" s="2">
        <v>100093740</v>
      </c>
      <c r="B3249">
        <v>100093740</v>
      </c>
      <c r="C3249" t="str">
        <f t="shared" si="77"/>
        <v>Link</v>
      </c>
      <c r="D3249" t="s">
        <v>4474</v>
      </c>
      <c r="E3249">
        <v>0.5</v>
      </c>
      <c r="F3249" t="s">
        <v>4477</v>
      </c>
      <c r="G3249">
        <v>0.5</v>
      </c>
    </row>
    <row r="3250" spans="1:8" ht="15.75" x14ac:dyDescent="0.25">
      <c r="A3250" s="2">
        <v>100093740</v>
      </c>
      <c r="B3250">
        <v>100093740</v>
      </c>
      <c r="C3250" t="str">
        <f t="shared" si="77"/>
        <v>Link</v>
      </c>
      <c r="D3250" t="s">
        <v>4474</v>
      </c>
      <c r="E3250">
        <v>0.5</v>
      </c>
      <c r="F3250" t="s">
        <v>4478</v>
      </c>
      <c r="G3250">
        <v>0.5</v>
      </c>
    </row>
    <row r="3251" spans="1:8" ht="15.75" x14ac:dyDescent="0.25">
      <c r="A3251" s="2">
        <v>100093740</v>
      </c>
      <c r="B3251">
        <v>100093740</v>
      </c>
      <c r="C3251" t="str">
        <f t="shared" si="77"/>
        <v>Link</v>
      </c>
      <c r="D3251" t="s">
        <v>4474</v>
      </c>
      <c r="E3251">
        <v>0.5</v>
      </c>
      <c r="F3251" t="s">
        <v>4479</v>
      </c>
      <c r="G3251">
        <v>0.5</v>
      </c>
    </row>
    <row r="3252" spans="1:8" ht="15.75" x14ac:dyDescent="0.25">
      <c r="A3252" s="2">
        <v>100093740</v>
      </c>
      <c r="B3252">
        <v>100093740</v>
      </c>
      <c r="C3252" t="str">
        <f t="shared" si="77"/>
        <v>Link</v>
      </c>
      <c r="D3252" t="s">
        <v>4474</v>
      </c>
      <c r="E3252">
        <v>0.5</v>
      </c>
      <c r="F3252" t="s">
        <v>4480</v>
      </c>
      <c r="G3252">
        <v>0.5</v>
      </c>
    </row>
    <row r="3253" spans="1:8" ht="15.75" x14ac:dyDescent="0.25">
      <c r="A3253" s="2">
        <v>100093740</v>
      </c>
      <c r="B3253">
        <v>100093740</v>
      </c>
      <c r="C3253" t="str">
        <f t="shared" si="77"/>
        <v>Link</v>
      </c>
      <c r="D3253" t="s">
        <v>4474</v>
      </c>
      <c r="E3253">
        <v>0.5</v>
      </c>
      <c r="F3253" t="s">
        <v>4481</v>
      </c>
      <c r="G3253">
        <v>0.5</v>
      </c>
    </row>
    <row r="3254" spans="1:8" ht="15.75" x14ac:dyDescent="0.25">
      <c r="A3254" s="2">
        <v>100093761</v>
      </c>
      <c r="B3254">
        <v>100093761</v>
      </c>
      <c r="C3254" t="str">
        <f>HYPERLINK("https://ois.dk/map/100093761/sfe", "Link")</f>
        <v>Link</v>
      </c>
      <c r="D3254" t="s">
        <v>4482</v>
      </c>
      <c r="E3254">
        <v>0.75</v>
      </c>
      <c r="F3254" t="s">
        <v>4483</v>
      </c>
      <c r="G3254">
        <v>0.5</v>
      </c>
      <c r="H3254">
        <v>0.25</v>
      </c>
    </row>
    <row r="3255" spans="1:8" ht="15.75" x14ac:dyDescent="0.25">
      <c r="A3255" s="2">
        <v>100093762</v>
      </c>
      <c r="B3255">
        <v>100093762</v>
      </c>
      <c r="C3255" t="str">
        <f>HYPERLINK("https://ois.dk/map/100093762/sfe", "Link")</f>
        <v>Link</v>
      </c>
      <c r="D3255" t="s">
        <v>4484</v>
      </c>
      <c r="E3255">
        <v>0.75</v>
      </c>
      <c r="F3255" t="s">
        <v>4485</v>
      </c>
      <c r="G3255">
        <v>0.5</v>
      </c>
      <c r="H3255">
        <v>0.25</v>
      </c>
    </row>
    <row r="3256" spans="1:8" ht="15.75" x14ac:dyDescent="0.25">
      <c r="A3256" s="2">
        <v>100093764</v>
      </c>
      <c r="B3256">
        <v>100093764</v>
      </c>
      <c r="C3256" t="str">
        <f>HYPERLINK("https://ois.dk/map/100093764/sfe", "Link")</f>
        <v>Link</v>
      </c>
      <c r="D3256" t="s">
        <v>4486</v>
      </c>
      <c r="E3256">
        <v>0.75</v>
      </c>
      <c r="F3256" t="s">
        <v>4487</v>
      </c>
      <c r="G3256">
        <v>0.5</v>
      </c>
      <c r="H3256">
        <v>0.25</v>
      </c>
    </row>
    <row r="3257" spans="1:8" ht="15.75" x14ac:dyDescent="0.25">
      <c r="A3257" s="2">
        <v>100093766</v>
      </c>
      <c r="B3257">
        <v>100093766</v>
      </c>
      <c r="C3257" t="str">
        <f>HYPERLINK("https://ois.dk/map/100093766/sfe", "Link")</f>
        <v>Link</v>
      </c>
      <c r="D3257" t="s">
        <v>4488</v>
      </c>
      <c r="E3257">
        <v>0.75</v>
      </c>
      <c r="F3257" t="s">
        <v>4489</v>
      </c>
      <c r="G3257">
        <v>0.5</v>
      </c>
      <c r="H3257">
        <v>0.25</v>
      </c>
    </row>
    <row r="3258" spans="1:8" ht="15.75" x14ac:dyDescent="0.25">
      <c r="A3258" s="2">
        <v>100093767</v>
      </c>
      <c r="B3258">
        <v>100093767</v>
      </c>
      <c r="C3258" t="str">
        <f>HYPERLINK("https://ois.dk/map/100093767/sfe", "Link")</f>
        <v>Link</v>
      </c>
      <c r="D3258" t="s">
        <v>4490</v>
      </c>
      <c r="E3258">
        <v>0.75</v>
      </c>
      <c r="F3258" t="s">
        <v>4491</v>
      </c>
      <c r="G3258">
        <v>0.5</v>
      </c>
      <c r="H3258">
        <v>0.25</v>
      </c>
    </row>
    <row r="3259" spans="1:8" ht="15.75" x14ac:dyDescent="0.25">
      <c r="A3259" s="2">
        <v>100097049</v>
      </c>
      <c r="B3259">
        <v>100097049</v>
      </c>
      <c r="C3259" t="str">
        <f>HYPERLINK("https://ois.dk/map/100097049/sfe", "Link")</f>
        <v>Link</v>
      </c>
      <c r="D3259" t="s">
        <v>548</v>
      </c>
      <c r="E3259">
        <v>0.5</v>
      </c>
      <c r="F3259" t="s">
        <v>4492</v>
      </c>
      <c r="G3259">
        <v>0.5</v>
      </c>
    </row>
    <row r="3260" spans="1:8" ht="15.75" x14ac:dyDescent="0.25">
      <c r="A3260" s="2">
        <v>100097050</v>
      </c>
      <c r="B3260">
        <v>100097050</v>
      </c>
      <c r="C3260" t="str">
        <f>HYPERLINK("https://ois.dk/map/100097050/sfe", "Link")</f>
        <v>Link</v>
      </c>
      <c r="D3260" t="s">
        <v>549</v>
      </c>
      <c r="E3260">
        <v>0.5</v>
      </c>
      <c r="F3260" t="s">
        <v>4493</v>
      </c>
      <c r="G3260">
        <v>0.5</v>
      </c>
    </row>
    <row r="3261" spans="1:8" ht="15.75" x14ac:dyDescent="0.25">
      <c r="A3261" s="2">
        <v>100097051</v>
      </c>
      <c r="B3261">
        <v>100097051</v>
      </c>
      <c r="C3261" t="str">
        <f>HYPERLINK("https://ois.dk/map/100097051/sfe", "Link")</f>
        <v>Link</v>
      </c>
      <c r="D3261" t="s">
        <v>550</v>
      </c>
      <c r="E3261">
        <v>0.75</v>
      </c>
      <c r="F3261" t="s">
        <v>4494</v>
      </c>
      <c r="G3261">
        <v>0.5</v>
      </c>
      <c r="H3261">
        <v>0.25</v>
      </c>
    </row>
    <row r="3262" spans="1:8" ht="15.75" x14ac:dyDescent="0.25">
      <c r="A3262" s="2">
        <v>100097052</v>
      </c>
      <c r="B3262">
        <v>100097052</v>
      </c>
      <c r="C3262" t="str">
        <f>HYPERLINK("https://ois.dk/map/100097052/sfe", "Link")</f>
        <v>Link</v>
      </c>
      <c r="D3262" t="s">
        <v>551</v>
      </c>
      <c r="E3262">
        <v>0.75</v>
      </c>
      <c r="F3262" t="s">
        <v>4495</v>
      </c>
      <c r="G3262">
        <v>0.5</v>
      </c>
      <c r="H3262">
        <v>0.25</v>
      </c>
    </row>
    <row r="3263" spans="1:8" ht="15.75" x14ac:dyDescent="0.25">
      <c r="A3263" s="2">
        <v>100097053</v>
      </c>
      <c r="B3263">
        <v>100097053</v>
      </c>
      <c r="C3263" t="str">
        <f>HYPERLINK("https://ois.dk/map/100097053/sfe", "Link")</f>
        <v>Link</v>
      </c>
      <c r="D3263" t="s">
        <v>4496</v>
      </c>
      <c r="E3263">
        <v>0.75</v>
      </c>
      <c r="F3263" t="s">
        <v>4497</v>
      </c>
      <c r="G3263">
        <v>0.5</v>
      </c>
      <c r="H3263">
        <v>0.25</v>
      </c>
    </row>
    <row r="3264" spans="1:8" ht="15.75" x14ac:dyDescent="0.25">
      <c r="A3264" s="2">
        <v>100097054</v>
      </c>
      <c r="B3264">
        <v>100097054</v>
      </c>
      <c r="C3264" t="str">
        <f>HYPERLINK("https://ois.dk/map/100097054/sfe", "Link")</f>
        <v>Link</v>
      </c>
      <c r="D3264" t="s">
        <v>4498</v>
      </c>
      <c r="E3264">
        <v>0.75</v>
      </c>
      <c r="F3264" t="s">
        <v>4499</v>
      </c>
      <c r="G3264">
        <v>0.5</v>
      </c>
      <c r="H3264">
        <v>0.25</v>
      </c>
    </row>
    <row r="3265" spans="1:19" ht="15.75" x14ac:dyDescent="0.25">
      <c r="A3265" s="2">
        <v>100097055</v>
      </c>
      <c r="B3265">
        <v>100097055</v>
      </c>
      <c r="C3265" t="str">
        <f>HYPERLINK("https://ois.dk/map/100097055/sfe", "Link")</f>
        <v>Link</v>
      </c>
      <c r="D3265" t="s">
        <v>553</v>
      </c>
      <c r="E3265">
        <v>0.75</v>
      </c>
      <c r="F3265" t="s">
        <v>4500</v>
      </c>
      <c r="G3265">
        <v>0.5</v>
      </c>
      <c r="H3265">
        <v>0.25</v>
      </c>
    </row>
    <row r="3266" spans="1:19" ht="15.75" x14ac:dyDescent="0.25">
      <c r="A3266" s="2">
        <v>100097056</v>
      </c>
      <c r="B3266">
        <v>100097056</v>
      </c>
      <c r="C3266" t="str">
        <f>HYPERLINK("https://ois.dk/map/100097056/sfe", "Link")</f>
        <v>Link</v>
      </c>
      <c r="D3266" t="s">
        <v>555</v>
      </c>
      <c r="E3266">
        <v>0.75</v>
      </c>
      <c r="F3266" t="s">
        <v>4501</v>
      </c>
      <c r="G3266">
        <v>0.5</v>
      </c>
      <c r="H3266">
        <v>0.25</v>
      </c>
    </row>
    <row r="3267" spans="1:19" ht="15.75" x14ac:dyDescent="0.25">
      <c r="A3267" s="2">
        <v>100097057</v>
      </c>
      <c r="B3267">
        <v>100097057</v>
      </c>
      <c r="C3267" t="str">
        <f>HYPERLINK("https://ois.dk/map/100097057/sfe", "Link")</f>
        <v>Link</v>
      </c>
      <c r="D3267" t="s">
        <v>4502</v>
      </c>
      <c r="E3267">
        <v>0.75</v>
      </c>
      <c r="F3267" t="s">
        <v>4503</v>
      </c>
      <c r="G3267">
        <v>0.5</v>
      </c>
      <c r="H3267">
        <v>0.25</v>
      </c>
    </row>
    <row r="3268" spans="1:19" ht="15.75" x14ac:dyDescent="0.25">
      <c r="A3268" s="2">
        <v>100098599</v>
      </c>
      <c r="B3268">
        <v>100098599</v>
      </c>
      <c r="C3268" t="str">
        <f>HYPERLINK("https://ois.dk/map/100098599/sfe", "Link")</f>
        <v>Link</v>
      </c>
      <c r="D3268" t="s">
        <v>4504</v>
      </c>
      <c r="E3268">
        <v>3.75</v>
      </c>
      <c r="F3268" t="s">
        <v>4505</v>
      </c>
      <c r="G3268">
        <v>0.5</v>
      </c>
      <c r="H3268">
        <v>0.25</v>
      </c>
      <c r="I3268">
        <v>1</v>
      </c>
      <c r="K3268">
        <v>2</v>
      </c>
      <c r="R3268">
        <v>1.67</v>
      </c>
    </row>
    <row r="3269" spans="1:19" ht="15.75" x14ac:dyDescent="0.25">
      <c r="A3269" s="2">
        <v>100098600</v>
      </c>
      <c r="B3269">
        <v>100098600</v>
      </c>
      <c r="C3269" t="str">
        <f>HYPERLINK("https://ois.dk/map/100098600/sfe", "Link")</f>
        <v>Link</v>
      </c>
      <c r="D3269" t="s">
        <v>4506</v>
      </c>
      <c r="E3269">
        <v>0.75</v>
      </c>
      <c r="F3269" t="s">
        <v>4507</v>
      </c>
      <c r="G3269">
        <v>0.5</v>
      </c>
      <c r="H3269">
        <v>0.25</v>
      </c>
    </row>
    <row r="3270" spans="1:19" ht="15.75" x14ac:dyDescent="0.25">
      <c r="A3270" s="2">
        <v>100098601</v>
      </c>
      <c r="B3270">
        <v>100098601</v>
      </c>
      <c r="C3270" t="str">
        <f>HYPERLINK("https://ois.dk/map/100098601/sfe", "Link")</f>
        <v>Link</v>
      </c>
      <c r="D3270" t="s">
        <v>4508</v>
      </c>
      <c r="E3270">
        <v>3.75</v>
      </c>
      <c r="F3270" t="s">
        <v>4509</v>
      </c>
      <c r="G3270">
        <v>0.5</v>
      </c>
      <c r="H3270">
        <v>0.25</v>
      </c>
      <c r="I3270">
        <v>1</v>
      </c>
      <c r="K3270">
        <v>2</v>
      </c>
      <c r="R3270">
        <v>2.11</v>
      </c>
    </row>
    <row r="3271" spans="1:19" ht="15.75" x14ac:dyDescent="0.25">
      <c r="A3271" s="2">
        <v>100103244</v>
      </c>
      <c r="B3271">
        <v>100103244</v>
      </c>
      <c r="C3271" t="str">
        <f>HYPERLINK("https://ois.dk/map/100103244/sfe", "Link")</f>
        <v>Link</v>
      </c>
      <c r="D3271" t="s">
        <v>4510</v>
      </c>
      <c r="E3271">
        <v>0.54700000000000004</v>
      </c>
      <c r="G3271">
        <v>0.5</v>
      </c>
      <c r="M3271">
        <v>4.7E-2</v>
      </c>
    </row>
    <row r="3272" spans="1:19" ht="15.75" x14ac:dyDescent="0.25">
      <c r="A3272" s="2">
        <v>100195317</v>
      </c>
      <c r="B3272">
        <v>100195317</v>
      </c>
      <c r="C3272" t="str">
        <f>HYPERLINK("https://ois.dk/map/100195317/sfe", "Link")</f>
        <v>Link</v>
      </c>
      <c r="D3272" t="s">
        <v>4511</v>
      </c>
      <c r="E3272">
        <v>2.0499999999999998</v>
      </c>
      <c r="F3272" t="s">
        <v>4512</v>
      </c>
      <c r="G3272">
        <v>0.5</v>
      </c>
      <c r="H3272">
        <v>0.25</v>
      </c>
      <c r="I3272">
        <v>1</v>
      </c>
      <c r="J3272">
        <v>0.3</v>
      </c>
      <c r="R3272">
        <v>1.29</v>
      </c>
      <c r="S3272">
        <v>1.84</v>
      </c>
    </row>
    <row r="3273" spans="1:19" ht="15.75" x14ac:dyDescent="0.25">
      <c r="A3273" s="2">
        <v>100219030</v>
      </c>
      <c r="B3273">
        <v>100219030</v>
      </c>
      <c r="C3273" t="str">
        <f>HYPERLINK("https://ois.dk/map/100219030/sfe", "Link")</f>
        <v>Link</v>
      </c>
      <c r="D3273" t="s">
        <v>1268</v>
      </c>
      <c r="E3273">
        <v>0.82499999999999996</v>
      </c>
      <c r="G3273">
        <v>0.5</v>
      </c>
      <c r="H3273">
        <v>0.25</v>
      </c>
      <c r="L3273">
        <v>7.4999999999999997E-2</v>
      </c>
    </row>
    <row r="3274" spans="1:19" ht="15.75" x14ac:dyDescent="0.25">
      <c r="A3274" s="2">
        <v>100398834</v>
      </c>
      <c r="B3274">
        <v>100398834</v>
      </c>
      <c r="C3274" t="str">
        <f>HYPERLINK("https://ois.dk/map/100398834/sfe", "Link")</f>
        <v>Link</v>
      </c>
      <c r="D3274" t="s">
        <v>1037</v>
      </c>
      <c r="E3274">
        <v>0.5</v>
      </c>
      <c r="F3274" t="s">
        <v>4513</v>
      </c>
      <c r="G3274">
        <v>0.5</v>
      </c>
    </row>
    <row r="3275" spans="1:19" ht="15.75" x14ac:dyDescent="0.25">
      <c r="A3275" s="2">
        <v>100398835</v>
      </c>
      <c r="B3275">
        <v>100398835</v>
      </c>
      <c r="C3275" t="str">
        <f>HYPERLINK("https://ois.dk/map/100398835/sfe", "Link")</f>
        <v>Link</v>
      </c>
      <c r="D3275" t="s">
        <v>1039</v>
      </c>
      <c r="E3275">
        <v>0.5</v>
      </c>
      <c r="F3275" t="s">
        <v>4514</v>
      </c>
      <c r="G3275">
        <v>0.5</v>
      </c>
    </row>
    <row r="3276" spans="1:19" ht="15.75" x14ac:dyDescent="0.25">
      <c r="A3276" s="2">
        <v>100398836</v>
      </c>
      <c r="B3276">
        <v>100398836</v>
      </c>
      <c r="C3276" t="str">
        <f>HYPERLINK("https://ois.dk/map/100398836/sfe", "Link")</f>
        <v>Link</v>
      </c>
      <c r="D3276" t="s">
        <v>4515</v>
      </c>
      <c r="E3276">
        <v>0.5</v>
      </c>
      <c r="F3276" t="s">
        <v>4516</v>
      </c>
      <c r="G3276">
        <v>0.5</v>
      </c>
    </row>
    <row r="3277" spans="1:19" ht="15.75" x14ac:dyDescent="0.25">
      <c r="A3277" s="2">
        <v>100398837</v>
      </c>
      <c r="B3277">
        <v>100398837</v>
      </c>
      <c r="C3277" t="str">
        <f>HYPERLINK("https://ois.dk/map/100398837/sfe", "Link")</f>
        <v>Link</v>
      </c>
      <c r="D3277" t="s">
        <v>4517</v>
      </c>
      <c r="E3277">
        <v>0.5</v>
      </c>
      <c r="G3277">
        <v>0.5</v>
      </c>
    </row>
    <row r="3278" spans="1:19" ht="15.75" x14ac:dyDescent="0.25">
      <c r="A3278" s="2">
        <v>100398838</v>
      </c>
      <c r="B3278">
        <v>100398838</v>
      </c>
      <c r="C3278" t="str">
        <f>HYPERLINK("https://ois.dk/map/100398838/sfe", "Link")</f>
        <v>Link</v>
      </c>
      <c r="D3278" t="s">
        <v>4518</v>
      </c>
      <c r="E3278">
        <v>0.5</v>
      </c>
      <c r="F3278" t="s">
        <v>4519</v>
      </c>
      <c r="G3278">
        <v>0.5</v>
      </c>
    </row>
    <row r="3279" spans="1:19" ht="15.75" x14ac:dyDescent="0.25">
      <c r="A3279" s="2">
        <v>100398839</v>
      </c>
      <c r="B3279">
        <v>100398839</v>
      </c>
      <c r="C3279" t="str">
        <f>HYPERLINK("https://ois.dk/map/100398839/sfe", "Link")</f>
        <v>Link</v>
      </c>
      <c r="D3279" t="s">
        <v>4520</v>
      </c>
      <c r="E3279">
        <v>0.5</v>
      </c>
      <c r="F3279" t="s">
        <v>4521</v>
      </c>
      <c r="G3279">
        <v>0.5</v>
      </c>
    </row>
    <row r="3280" spans="1:19" ht="15.75" x14ac:dyDescent="0.25">
      <c r="A3280" s="2">
        <v>100423868</v>
      </c>
      <c r="B3280">
        <v>100423868</v>
      </c>
      <c r="C3280" t="str">
        <f>HYPERLINK("https://ois.dk/map/100423868/sfe", "Link")</f>
        <v>Link</v>
      </c>
      <c r="D3280" t="s">
        <v>4522</v>
      </c>
      <c r="E3280">
        <v>0.5</v>
      </c>
      <c r="F3280" t="s">
        <v>4523</v>
      </c>
      <c r="G3280">
        <v>0.5</v>
      </c>
    </row>
    <row r="3281" spans="1:17" ht="15.75" x14ac:dyDescent="0.25">
      <c r="A3281" s="2">
        <v>100572456</v>
      </c>
      <c r="B3281">
        <v>100572456</v>
      </c>
      <c r="C3281" t="str">
        <f>HYPERLINK("https://ois.dk/map/100572456/sfe", "Link")</f>
        <v>Link</v>
      </c>
      <c r="D3281" t="s">
        <v>166</v>
      </c>
      <c r="E3281">
        <v>0.502</v>
      </c>
      <c r="F3281" t="s">
        <v>4524</v>
      </c>
      <c r="G3281">
        <v>0.5</v>
      </c>
      <c r="M3281">
        <v>2E-3</v>
      </c>
    </row>
    <row r="3282" spans="1:17" ht="15.75" x14ac:dyDescent="0.25">
      <c r="A3282" s="2">
        <v>100611445</v>
      </c>
      <c r="B3282">
        <v>100611445</v>
      </c>
      <c r="C3282" t="str">
        <f>HYPERLINK("https://ois.dk/map/100611445/sfe", "Link")</f>
        <v>Link</v>
      </c>
      <c r="D3282" t="s">
        <v>4525</v>
      </c>
      <c r="E3282">
        <v>0.75</v>
      </c>
      <c r="F3282" t="s">
        <v>4526</v>
      </c>
      <c r="G3282">
        <v>0.5</v>
      </c>
      <c r="H3282">
        <v>0.25</v>
      </c>
    </row>
    <row r="3283" spans="1:17" ht="15.75" x14ac:dyDescent="0.25">
      <c r="A3283" s="2">
        <v>100732885</v>
      </c>
      <c r="B3283">
        <v>100732885</v>
      </c>
      <c r="C3283" t="str">
        <f>HYPERLINK("https://ois.dk/map/100732885/sfe", "Link")</f>
        <v>Link</v>
      </c>
      <c r="D3283" t="s">
        <v>342</v>
      </c>
      <c r="E3283">
        <v>0.5</v>
      </c>
      <c r="F3283" t="s">
        <v>4527</v>
      </c>
      <c r="G3283">
        <v>0.5</v>
      </c>
    </row>
    <row r="3285" spans="1:17" ht="24" customHeight="1" x14ac:dyDescent="0.4">
      <c r="A3285" s="35" t="s">
        <v>4528</v>
      </c>
      <c r="B3285" s="35"/>
      <c r="C3285" s="35"/>
      <c r="D3285" s="35"/>
      <c r="E3285" s="5">
        <f>SUM(E5:E3284)</f>
        <v>3319.3280000000022</v>
      </c>
      <c r="F3285" s="5"/>
      <c r="G3285" s="5">
        <f t="shared" ref="G3285:Q3285" si="78">SUM(G5:G3284)</f>
        <v>1562.5</v>
      </c>
      <c r="H3285" s="5">
        <f t="shared" si="78"/>
        <v>274.5</v>
      </c>
      <c r="I3285" s="5">
        <f t="shared" si="78"/>
        <v>1199</v>
      </c>
      <c r="J3285" s="5">
        <f t="shared" si="78"/>
        <v>35.40000000000002</v>
      </c>
      <c r="K3285" s="5">
        <f t="shared" si="78"/>
        <v>57</v>
      </c>
      <c r="L3285" s="5">
        <f t="shared" si="78"/>
        <v>58.48</v>
      </c>
      <c r="M3285" s="5">
        <f t="shared" si="78"/>
        <v>56.195</v>
      </c>
      <c r="N3285" s="5">
        <f t="shared" si="78"/>
        <v>0.35299999999999998</v>
      </c>
      <c r="O3285" s="5">
        <f t="shared" si="78"/>
        <v>4</v>
      </c>
      <c r="P3285" s="5">
        <f t="shared" si="78"/>
        <v>1.4000000000000001</v>
      </c>
      <c r="Q3285" s="5">
        <f t="shared" si="78"/>
        <v>65</v>
      </c>
    </row>
    <row r="3288" spans="1:17" ht="159" customHeight="1" x14ac:dyDescent="0.4">
      <c r="C3288" s="36" t="s">
        <v>4529</v>
      </c>
      <c r="D3288" s="36"/>
      <c r="E3288" s="25">
        <v>251.86</v>
      </c>
    </row>
    <row r="3289" spans="1:17" ht="24.75" customHeight="1" thickBot="1" x14ac:dyDescent="0.45">
      <c r="B3289" s="16"/>
      <c r="D3289" s="16"/>
      <c r="E3289" s="16"/>
    </row>
    <row r="3290" spans="1:17" ht="27" customHeight="1" thickBot="1" x14ac:dyDescent="0.45">
      <c r="C3290" s="37" t="s">
        <v>4530</v>
      </c>
      <c r="D3290" s="38"/>
      <c r="E3290" s="26">
        <f>SUM(E3285,E3288)</f>
        <v>3571.1880000000024</v>
      </c>
    </row>
  </sheetData>
  <mergeCells count="5">
    <mergeCell ref="R2:S3"/>
    <mergeCell ref="A2:E3"/>
    <mergeCell ref="A3285:D3285"/>
    <mergeCell ref="C3288:D3288"/>
    <mergeCell ref="C3290:D3290"/>
  </mergeCells>
  <pageMargins left="0.74803149606299213" right="0.74803149606299213" top="0.98425196850393704" bottom="0.98425196850393704" header="0.51181102362204722" footer="0.51181102362204722"/>
  <pageSetup paperSize="8" scale="36" fitToHeight="0" orientation="landscape" r:id="rId1"/>
  <headerFooter>
    <oddFooter>&amp;R&amp;"-,Fed"&amp;16&amp;P af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7"/>
  <sheetViews>
    <sheetView workbookViewId="0">
      <selection activeCell="D2" sqref="D2"/>
    </sheetView>
  </sheetViews>
  <sheetFormatPr defaultRowHeight="15" x14ac:dyDescent="0.25"/>
  <cols>
    <col min="1" max="1" width="13" customWidth="1"/>
    <col min="2" max="2" width="16.5703125" customWidth="1"/>
    <col min="3" max="3" width="16.85546875" hidden="1" customWidth="1"/>
    <col min="4" max="4" width="19.42578125" customWidth="1"/>
    <col min="5" max="5" width="17.85546875" customWidth="1"/>
    <col min="6" max="6" width="36.85546875" customWidth="1"/>
    <col min="7" max="7" width="16.7109375" customWidth="1"/>
    <col min="8" max="8" width="13.42578125" bestFit="1" customWidth="1"/>
    <col min="9" max="9" width="15" bestFit="1" customWidth="1"/>
    <col min="10" max="10" width="13.5703125" bestFit="1" customWidth="1"/>
    <col min="11" max="11" width="21.42578125" bestFit="1" customWidth="1"/>
    <col min="12" max="12" width="15" bestFit="1" customWidth="1"/>
    <col min="13" max="13" width="14.140625" bestFit="1" customWidth="1"/>
    <col min="14" max="14" width="12.85546875" bestFit="1" customWidth="1"/>
    <col min="15" max="15" width="16.42578125" customWidth="1"/>
    <col min="16" max="16" width="16.5703125" bestFit="1" customWidth="1"/>
    <col min="17" max="17" width="17.140625" customWidth="1"/>
    <col min="18" max="18" width="17.7109375" customWidth="1"/>
    <col min="19" max="19" width="16.85546875" customWidth="1"/>
  </cols>
  <sheetData>
    <row r="1" spans="1:19" ht="21.75" customHeight="1" thickBot="1" x14ac:dyDescent="0.4">
      <c r="A1" s="20" t="str">
        <f>'Oversigt parter'!A1</f>
        <v>BogenseKystdiger_Bidragsfordeling_2026_Jan_Version10.xlsx</v>
      </c>
    </row>
    <row r="2" spans="1:19" ht="24" customHeight="1" thickBot="1" x14ac:dyDescent="0.4">
      <c r="A2" s="42" t="s">
        <v>4531</v>
      </c>
      <c r="B2" s="31"/>
      <c r="C2" s="34"/>
      <c r="D2" s="12">
        <v>9961576</v>
      </c>
      <c r="F2" s="18" t="str">
        <f>HYPERLINK(_xlfn.CONCAT("https://ois.dk/map/",D2,"/sfe"), "Link til OIS")</f>
        <v>Link til OIS</v>
      </c>
      <c r="G2" s="27" t="s">
        <v>4532</v>
      </c>
      <c r="H2" s="28">
        <f>SUM(G6:Q6)</f>
        <v>3.05</v>
      </c>
    </row>
    <row r="4" spans="1:19" ht="37.5" customHeight="1" x14ac:dyDescent="0.25">
      <c r="G4" s="19" t="s">
        <v>33</v>
      </c>
      <c r="H4" s="19" t="s">
        <v>34</v>
      </c>
      <c r="I4" s="19" t="s">
        <v>35</v>
      </c>
      <c r="J4" s="19" t="s">
        <v>36</v>
      </c>
      <c r="K4" s="19" t="s">
        <v>37</v>
      </c>
      <c r="L4" s="19" t="s">
        <v>38</v>
      </c>
      <c r="M4" s="19" t="s">
        <v>39</v>
      </c>
      <c r="N4" s="19" t="s">
        <v>40</v>
      </c>
      <c r="O4" s="22" t="s">
        <v>41</v>
      </c>
      <c r="P4" s="22" t="s">
        <v>4533</v>
      </c>
      <c r="Q4" s="22" t="s">
        <v>4534</v>
      </c>
    </row>
    <row r="5" spans="1:19" ht="18.75" customHeight="1" x14ac:dyDescent="0.25">
      <c r="A5" s="10" t="s">
        <v>27</v>
      </c>
      <c r="B5" s="10" t="s">
        <v>28</v>
      </c>
      <c r="C5" s="10" t="s">
        <v>4535</v>
      </c>
      <c r="D5" s="10" t="s">
        <v>30</v>
      </c>
      <c r="E5" s="10" t="s">
        <v>31</v>
      </c>
      <c r="F5" s="11" t="s">
        <v>32</v>
      </c>
      <c r="G5" s="11" t="s">
        <v>3</v>
      </c>
      <c r="H5" s="11" t="s">
        <v>4</v>
      </c>
      <c r="I5" s="11" t="s">
        <v>5</v>
      </c>
      <c r="J5" s="11" t="s">
        <v>6</v>
      </c>
      <c r="K5" s="11" t="s">
        <v>7</v>
      </c>
      <c r="L5" s="11" t="s">
        <v>8</v>
      </c>
      <c r="M5" s="11" t="s">
        <v>9</v>
      </c>
      <c r="N5" s="11" t="s">
        <v>10</v>
      </c>
      <c r="O5" s="11" t="s">
        <v>11</v>
      </c>
      <c r="P5" s="11" t="s">
        <v>12</v>
      </c>
      <c r="Q5" s="11" t="s">
        <v>13</v>
      </c>
      <c r="R5" s="11" t="s">
        <v>44</v>
      </c>
      <c r="S5" s="11" t="s">
        <v>4536</v>
      </c>
    </row>
    <row r="6" spans="1:19" ht="23.25" customHeight="1" x14ac:dyDescent="0.35">
      <c r="A6" s="39" t="s">
        <v>4528</v>
      </c>
      <c r="B6" s="40"/>
      <c r="C6" s="40"/>
      <c r="D6" s="40"/>
      <c r="E6" s="40"/>
      <c r="F6" s="41"/>
      <c r="G6" s="13">
        <f>SUM(INDEX(_xlfn.ANCHORARRAY(A7),,7))</f>
        <v>0.5</v>
      </c>
      <c r="H6" s="13">
        <f>SUM(INDEX(_xlfn.ANCHORARRAY(A7),,8))</f>
        <v>0.25</v>
      </c>
      <c r="I6" s="13">
        <f>SUM(INDEX(_xlfn.ANCHORARRAY(A7),,9))</f>
        <v>1</v>
      </c>
      <c r="J6" s="13">
        <f>SUM(INDEX(_xlfn.ANCHORARRAY(A7),,10))</f>
        <v>0.3</v>
      </c>
      <c r="K6" s="13">
        <f>SUM(INDEX(_xlfn.ANCHORARRAY(A7),,11))</f>
        <v>1</v>
      </c>
      <c r="L6" s="13">
        <f>SUM(INDEX(_xlfn.ANCHORARRAY(A7),,12))</f>
        <v>0</v>
      </c>
      <c r="M6" s="13">
        <f>SUM(INDEX(_xlfn.ANCHORARRAY(A7),,13))</f>
        <v>0</v>
      </c>
      <c r="N6" s="13">
        <f>SUM(INDEX(_xlfn.ANCHORARRAY(A7),,14))</f>
        <v>0</v>
      </c>
      <c r="O6" s="13">
        <f>SUM(INDEX(_xlfn.ANCHORARRAY(A7),,15))</f>
        <v>0</v>
      </c>
      <c r="P6" s="14">
        <f>SUM(INDEX(_xlfn.ANCHORARRAY(A7),,16))</f>
        <v>0</v>
      </c>
      <c r="Q6" s="14">
        <f>SUM(INDEX(_xlfn.ANCHORARRAY(A7),,17))</f>
        <v>0</v>
      </c>
      <c r="R6" s="15"/>
      <c r="S6" s="15"/>
    </row>
    <row r="7" spans="1:19" x14ac:dyDescent="0.25">
      <c r="A7" cm="1">
        <f t="array" ref="A7:S7">_xlfn._xlws.FILTER(Table1[],Table1[Bfe] = D2,"Ingen ejendom fundet")</f>
        <v>9961576</v>
      </c>
      <c r="B7">
        <v>9961576</v>
      </c>
      <c r="C7" t="str">
        <v>Link</v>
      </c>
      <c r="D7" t="str">
        <v>3p;3o;3æ;3l;3n;3m;3ø</v>
      </c>
      <c r="E7">
        <v>3.05</v>
      </c>
      <c r="F7" t="str">
        <v>Vestergade 24, 5400 Bogense</v>
      </c>
      <c r="G7">
        <v>0.5</v>
      </c>
      <c r="H7">
        <v>0.25</v>
      </c>
      <c r="I7">
        <v>1</v>
      </c>
      <c r="J7">
        <v>0.3</v>
      </c>
      <c r="K7">
        <v>1</v>
      </c>
      <c r="L7">
        <v>0</v>
      </c>
      <c r="M7">
        <v>0</v>
      </c>
      <c r="N7">
        <v>0</v>
      </c>
      <c r="O7">
        <v>0</v>
      </c>
      <c r="P7">
        <v>0</v>
      </c>
      <c r="Q7">
        <v>0</v>
      </c>
      <c r="R7">
        <v>1.65</v>
      </c>
      <c r="S7">
        <v>0</v>
      </c>
    </row>
  </sheetData>
  <sheetProtection sheet="1" objects="1" scenarios="1"/>
  <mergeCells count="2">
    <mergeCell ref="A6:F6"/>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281"/>
  <sheetViews>
    <sheetView workbookViewId="0">
      <selection activeCell="A3" sqref="A3"/>
    </sheetView>
  </sheetViews>
  <sheetFormatPr defaultRowHeight="15" x14ac:dyDescent="0.25"/>
  <cols>
    <col min="1" max="1" width="45.5703125" customWidth="1"/>
    <col min="2" max="2" width="27.42578125" customWidth="1"/>
  </cols>
  <sheetData>
    <row r="1" spans="1:2" ht="68.25" customHeight="1" thickBot="1" x14ac:dyDescent="0.4">
      <c r="A1" s="20" t="s">
        <v>4537</v>
      </c>
    </row>
    <row r="2" spans="1:2" ht="21.75" customHeight="1" thickBot="1" x14ac:dyDescent="0.4">
      <c r="A2" s="23" t="s">
        <v>32</v>
      </c>
      <c r="B2" s="24" t="s">
        <v>4538</v>
      </c>
    </row>
    <row r="3" spans="1:2" x14ac:dyDescent="0.25">
      <c r="A3" t="str" cm="1">
        <f t="array" ref="A3:A3281">Table1[Adresse]</f>
        <v>Tornhøj 18, Hugget, 5400 Bogense</v>
      </c>
      <c r="B3" cm="1">
        <f t="array" ref="B3:B3281">Table1[Bfe]</f>
        <v>1332049</v>
      </c>
    </row>
    <row r="4" spans="1:2" x14ac:dyDescent="0.25">
      <c r="A4" t="str">
        <v>Huggetvej 151, Hugget, 5400 Bogense</v>
      </c>
      <c r="B4">
        <v>1332050</v>
      </c>
    </row>
    <row r="5" spans="1:2" x14ac:dyDescent="0.25">
      <c r="A5" t="str">
        <v>Huggetvej 100, Skovby Nymark, 5400 Bogense</v>
      </c>
      <c r="B5">
        <v>1332052</v>
      </c>
    </row>
    <row r="6" spans="1:2" x14ac:dyDescent="0.25">
      <c r="A6" t="str">
        <v>Huggetvej 116, Skovby Nymark, 5400 Bogense</v>
      </c>
      <c r="B6">
        <v>1332062</v>
      </c>
    </row>
    <row r="7" spans="1:2" x14ac:dyDescent="0.25">
      <c r="A7" t="str">
        <v>Huggetvej 120, Skovby Nymark, 5400 Bogense</v>
      </c>
      <c r="B7">
        <v>1332065</v>
      </c>
    </row>
    <row r="8" spans="1:2" x14ac:dyDescent="0.25">
      <c r="A8" t="str">
        <v>Huggetvej 123, Skovby Nymark, 5400 Bogense</v>
      </c>
      <c r="B8">
        <v>1332066</v>
      </c>
    </row>
    <row r="9" spans="1:2" x14ac:dyDescent="0.25">
      <c r="A9" t="str">
        <v>Huggetvej 117, Skovby Nymark, 5400 Bogense</v>
      </c>
      <c r="B9">
        <v>1332067</v>
      </c>
    </row>
    <row r="10" spans="1:2" x14ac:dyDescent="0.25">
      <c r="A10" t="str">
        <v>Donnervej 4, Skovby Nymark, 5400 Bogense</v>
      </c>
      <c r="B10">
        <v>1332069</v>
      </c>
    </row>
    <row r="11" spans="1:2" x14ac:dyDescent="0.25">
      <c r="A11" t="str">
        <v>Huggetvej 132, Skovby Nymark, 5400 Bogense</v>
      </c>
      <c r="B11">
        <v>1332070</v>
      </c>
    </row>
    <row r="12" spans="1:2" x14ac:dyDescent="0.25">
      <c r="A12" t="str">
        <v>Sandholtvej 53, Sandholt, 5400 Bogense</v>
      </c>
      <c r="B12">
        <v>1332158</v>
      </c>
    </row>
    <row r="13" spans="1:2" x14ac:dyDescent="0.25">
      <c r="A13" t="str">
        <v>Bergenparken 10A, 5400 Bogense</v>
      </c>
      <c r="B13">
        <v>1354874</v>
      </c>
    </row>
    <row r="14" spans="1:2" x14ac:dyDescent="0.25">
      <c r="A14" t="str">
        <v>Bergenparken 10B, 5400 Bogense</v>
      </c>
      <c r="B14">
        <v>1354874</v>
      </c>
    </row>
    <row r="15" spans="1:2" x14ac:dyDescent="0.25">
      <c r="A15" t="str">
        <v>Bergenparken 10C, 5400 Bogense</v>
      </c>
      <c r="B15">
        <v>1354874</v>
      </c>
    </row>
    <row r="16" spans="1:2" x14ac:dyDescent="0.25">
      <c r="A16" t="str">
        <v>Bergenparken 10D, 5400 Bogense</v>
      </c>
      <c r="B16">
        <v>1354874</v>
      </c>
    </row>
    <row r="17" spans="1:2" x14ac:dyDescent="0.25">
      <c r="A17" t="str">
        <v>Svelvikparken 15A, 5400 Bogense</v>
      </c>
      <c r="B17">
        <v>1354874</v>
      </c>
    </row>
    <row r="18" spans="1:2" x14ac:dyDescent="0.25">
      <c r="A18" t="str">
        <v>Svelvikparken 15B, 5400 Bogense</v>
      </c>
      <c r="B18">
        <v>1354874</v>
      </c>
    </row>
    <row r="19" spans="1:2" x14ac:dyDescent="0.25">
      <c r="A19" t="str">
        <v>Svelvikparken 15C, 5400 Bogense</v>
      </c>
      <c r="B19">
        <v>1354874</v>
      </c>
    </row>
    <row r="20" spans="1:2" x14ac:dyDescent="0.25">
      <c r="A20" t="str">
        <v>Svelvikparken 17A, 5400 Bogense</v>
      </c>
      <c r="B20">
        <v>1354874</v>
      </c>
    </row>
    <row r="21" spans="1:2" x14ac:dyDescent="0.25">
      <c r="A21" t="str">
        <v>Svelvikparken 17B, 5400 Bogense</v>
      </c>
      <c r="B21">
        <v>1354874</v>
      </c>
    </row>
    <row r="22" spans="1:2" x14ac:dyDescent="0.25">
      <c r="A22" t="str">
        <v>Svelvikparken 17C, 5400 Bogense</v>
      </c>
      <c r="B22">
        <v>1354874</v>
      </c>
    </row>
    <row r="23" spans="1:2" x14ac:dyDescent="0.25">
      <c r="A23" t="str">
        <v>Svelvikparken 17D, 5400 Bogense</v>
      </c>
      <c r="B23">
        <v>1354874</v>
      </c>
    </row>
    <row r="24" spans="1:2" x14ac:dyDescent="0.25">
      <c r="A24" t="str">
        <v>Svelvikparken 19A, 5400 Bogense</v>
      </c>
      <c r="B24">
        <v>1354874</v>
      </c>
    </row>
    <row r="25" spans="1:2" x14ac:dyDescent="0.25">
      <c r="A25" t="str">
        <v>Svelvikparken 19B, 5400 Bogense</v>
      </c>
      <c r="B25">
        <v>1354874</v>
      </c>
    </row>
    <row r="26" spans="1:2" x14ac:dyDescent="0.25">
      <c r="A26" t="str">
        <v>Svelvikparken 19C, 5400 Bogense</v>
      </c>
      <c r="B26">
        <v>1354874</v>
      </c>
    </row>
    <row r="27" spans="1:2" x14ac:dyDescent="0.25">
      <c r="A27" t="str">
        <v>Svelvikparken 19D, 5400 Bogense</v>
      </c>
      <c r="B27">
        <v>1354874</v>
      </c>
    </row>
    <row r="28" spans="1:2" x14ac:dyDescent="0.25">
      <c r="A28" t="str">
        <v>Odensevej 76, 5400 Bogense</v>
      </c>
      <c r="B28">
        <v>1354878</v>
      </c>
    </row>
    <row r="29" spans="1:2" x14ac:dyDescent="0.25">
      <c r="A29" t="str">
        <v>Odensevej 62, 5400 Bogense</v>
      </c>
      <c r="B29">
        <v>1354880</v>
      </c>
    </row>
    <row r="30" spans="1:2" x14ac:dyDescent="0.25">
      <c r="A30" t="str">
        <v>Odensevej 60, 5400 Bogense</v>
      </c>
      <c r="B30">
        <v>1354881</v>
      </c>
    </row>
    <row r="31" spans="1:2" x14ac:dyDescent="0.25">
      <c r="A31" t="str">
        <v>Odensevej 58, 5400 Bogense</v>
      </c>
      <c r="B31">
        <v>1354882</v>
      </c>
    </row>
    <row r="32" spans="1:2" x14ac:dyDescent="0.25">
      <c r="A32" t="str">
        <v>Almindevej 22, Almindehuse, 5400 Bogense</v>
      </c>
      <c r="B32">
        <v>1354887</v>
      </c>
    </row>
    <row r="33" spans="1:2" x14ac:dyDescent="0.25">
      <c r="A33" t="str">
        <v>Almindevej 43, Almindehuse, 5400 Bogense</v>
      </c>
      <c r="B33">
        <v>1354889</v>
      </c>
    </row>
    <row r="34" spans="1:2" x14ac:dyDescent="0.25">
      <c r="A34" t="str">
        <v>Huggetvej 30, Bogense Mark, 5400 Bogense</v>
      </c>
      <c r="B34">
        <v>1354892</v>
      </c>
    </row>
    <row r="35" spans="1:2" x14ac:dyDescent="0.25">
      <c r="A35" t="str">
        <v>Huggetvej 43, Bogense Mark, 5400 Bogense</v>
      </c>
      <c r="B35">
        <v>1354893</v>
      </c>
    </row>
    <row r="36" spans="1:2" x14ac:dyDescent="0.25">
      <c r="A36" t="str">
        <v>Stegøvej 104, Store Stegø, 5400 Bogense</v>
      </c>
      <c r="B36">
        <v>1354895</v>
      </c>
    </row>
    <row r="37" spans="1:2" x14ac:dyDescent="0.25">
      <c r="A37" t="str">
        <v>Huggetvej 55, Gungerne, 5400 Bogense</v>
      </c>
      <c r="B37">
        <v>1354896</v>
      </c>
    </row>
    <row r="38" spans="1:2" x14ac:dyDescent="0.25">
      <c r="A38" t="str">
        <v>Stegøvej 98, Lille Stegø, 5400 Bogense</v>
      </c>
      <c r="B38">
        <v>1354897</v>
      </c>
    </row>
    <row r="39" spans="1:2" x14ac:dyDescent="0.25">
      <c r="A39" t="str">
        <v>Norgesvej 30, 5400 Bogense</v>
      </c>
      <c r="B39">
        <v>1354903</v>
      </c>
    </row>
    <row r="40" spans="1:2" x14ac:dyDescent="0.25">
      <c r="A40" t="str">
        <v>Norgesvej 30, 5400 Bogense</v>
      </c>
      <c r="B40">
        <v>1354903</v>
      </c>
    </row>
    <row r="41" spans="1:2" x14ac:dyDescent="0.25">
      <c r="A41" t="str">
        <v>Norgesvej 30, 5400 Bogense</v>
      </c>
      <c r="B41">
        <v>1354903</v>
      </c>
    </row>
    <row r="42" spans="1:2" x14ac:dyDescent="0.25">
      <c r="A42" t="str">
        <v>Huggetvej 68, Kræmmerkrog, 5400 Bogense</v>
      </c>
      <c r="B42">
        <v>1354907</v>
      </c>
    </row>
    <row r="43" spans="1:2" x14ac:dyDescent="0.25">
      <c r="A43" t="str">
        <v>Huggetvej 44, Gungerne, 5400 Bogense</v>
      </c>
      <c r="B43">
        <v>1354908</v>
      </c>
    </row>
    <row r="44" spans="1:2" x14ac:dyDescent="0.25">
      <c r="A44" t="str">
        <v>Huggetvej 110, Skovby Nymark, 5400 Bogense</v>
      </c>
      <c r="B44">
        <v>1354909</v>
      </c>
    </row>
    <row r="45" spans="1:2" x14ac:dyDescent="0.25">
      <c r="A45" t="str">
        <v>Huggetvej 81, Kræmmerkrog, 5400 Bogense</v>
      </c>
      <c r="B45">
        <v>1354912</v>
      </c>
    </row>
    <row r="46" spans="1:2" x14ac:dyDescent="0.25">
      <c r="A46" t="str">
        <v>Huggetvej 136, Skovby Nymark, 5400 Bogense</v>
      </c>
      <c r="B46">
        <v>1354913</v>
      </c>
    </row>
    <row r="47" spans="1:2" x14ac:dyDescent="0.25">
      <c r="A47" t="str">
        <v>Sandholtvej 48, Brandholt, 5400 Bogense</v>
      </c>
      <c r="B47">
        <v>1354916</v>
      </c>
    </row>
    <row r="48" spans="1:2" x14ac:dyDescent="0.25">
      <c r="A48" t="str">
        <v>Huggetvej 52, Gungerne, 5400 Bogense</v>
      </c>
      <c r="B48">
        <v>1354918</v>
      </c>
    </row>
    <row r="49" spans="1:2" x14ac:dyDescent="0.25">
      <c r="A49" t="str">
        <v>Huggetvej 82, Kræmmerkrog, 5400 Bogense</v>
      </c>
      <c r="B49">
        <v>1354921</v>
      </c>
    </row>
    <row r="50" spans="1:2" x14ac:dyDescent="0.25">
      <c r="A50" t="str">
        <v>Skåstrupvej 63, Skåstrup, 5400 Bogense</v>
      </c>
      <c r="B50">
        <v>1354922</v>
      </c>
    </row>
    <row r="51" spans="1:2" x14ac:dyDescent="0.25">
      <c r="A51" t="str">
        <v>Huggetvej 101, Skovby Nymark, 5400 Bogense</v>
      </c>
      <c r="B51">
        <v>1354923</v>
      </c>
    </row>
    <row r="52" spans="1:2" x14ac:dyDescent="0.25">
      <c r="A52" t="str">
        <v>Huggetvej 154, Hugget, 5400 Bogense</v>
      </c>
      <c r="B52">
        <v>1354924</v>
      </c>
    </row>
    <row r="53" spans="1:2" x14ac:dyDescent="0.25">
      <c r="A53" t="str">
        <v>Huggetvej 72, Kræmmerkrog, 5400 Bogense</v>
      </c>
      <c r="B53">
        <v>1354925</v>
      </c>
    </row>
    <row r="54" spans="1:2" x14ac:dyDescent="0.25">
      <c r="A54" t="str">
        <v>Peberhaven 2, Harritslev F, 5400 Bogense</v>
      </c>
      <c r="B54">
        <v>1354933</v>
      </c>
    </row>
    <row r="55" spans="1:2" x14ac:dyDescent="0.25">
      <c r="A55" t="str">
        <v>Stegøvej 19, 5400 Bogense</v>
      </c>
      <c r="B55">
        <v>2667539</v>
      </c>
    </row>
    <row r="56" spans="1:2" x14ac:dyDescent="0.25">
      <c r="A56" t="str">
        <v>Smidstrupvej 19, Smidstrup, 5400 Bogense</v>
      </c>
      <c r="B56">
        <v>2675045</v>
      </c>
    </row>
    <row r="57" spans="1:2" x14ac:dyDescent="0.25">
      <c r="A57" t="str">
        <v>Idyllendal 10, Idyllendal, 5400 Bogense</v>
      </c>
      <c r="B57">
        <v>2675062</v>
      </c>
    </row>
    <row r="58" spans="1:2" x14ac:dyDescent="0.25">
      <c r="A58" t="str">
        <v>Burskovvej 2, Gyldensteen, 5400 Bogense</v>
      </c>
      <c r="B58">
        <v>2677261</v>
      </c>
    </row>
    <row r="59" spans="1:2" x14ac:dyDescent="0.25">
      <c r="A59">
        <v>0</v>
      </c>
      <c r="B59">
        <v>2677276</v>
      </c>
    </row>
    <row r="60" spans="1:2" x14ac:dyDescent="0.25">
      <c r="A60">
        <v>0</v>
      </c>
      <c r="B60">
        <v>2677277</v>
      </c>
    </row>
    <row r="61" spans="1:2" x14ac:dyDescent="0.25">
      <c r="A61" t="str">
        <v>Huggetvej 85, Kræmmerkrog, 5400 Bogense</v>
      </c>
      <c r="B61">
        <v>2677486</v>
      </c>
    </row>
    <row r="62" spans="1:2" x14ac:dyDescent="0.25">
      <c r="A62">
        <v>0</v>
      </c>
      <c r="B62">
        <v>2677487</v>
      </c>
    </row>
    <row r="63" spans="1:2" x14ac:dyDescent="0.25">
      <c r="A63" t="str">
        <v>Storkenhøjvej 167, Fogense Enge, 5400 Bogense</v>
      </c>
      <c r="B63">
        <v>2677489</v>
      </c>
    </row>
    <row r="64" spans="1:2" x14ac:dyDescent="0.25">
      <c r="A64" t="str">
        <v>Storkenhøjvej 177, Fogense Enge, 5400 Bogense</v>
      </c>
      <c r="B64">
        <v>2677490</v>
      </c>
    </row>
    <row r="65" spans="1:2" x14ac:dyDescent="0.25">
      <c r="A65" t="str">
        <v>Storkenhøjvej 183, Fogense Enge, 5400 Bogense</v>
      </c>
      <c r="B65">
        <v>2677497</v>
      </c>
    </row>
    <row r="66" spans="1:2" x14ac:dyDescent="0.25">
      <c r="A66" t="str">
        <v>Storkenhøjvej 173, Fogense Enge, 5400 Bogense</v>
      </c>
      <c r="B66">
        <v>2677500</v>
      </c>
    </row>
    <row r="67" spans="1:2" x14ac:dyDescent="0.25">
      <c r="A67" t="str">
        <v>Storkenhøjvej 169, Fogense Enge, 5400 Bogense</v>
      </c>
      <c r="B67">
        <v>2677502</v>
      </c>
    </row>
    <row r="68" spans="1:2" x14ac:dyDescent="0.25">
      <c r="A68" t="str">
        <v>Storkenhøjvej 165, Fogense Enge, 5400 Bogense</v>
      </c>
      <c r="B68">
        <v>2677504</v>
      </c>
    </row>
    <row r="69" spans="1:2" x14ac:dyDescent="0.25">
      <c r="A69" t="str">
        <v>Storkenhøjvej 163, Fogense Enge, 5400 Bogense</v>
      </c>
      <c r="B69">
        <v>2677505</v>
      </c>
    </row>
    <row r="70" spans="1:2" x14ac:dyDescent="0.25">
      <c r="A70" t="str">
        <v>Storkenhøjvej 175, Fogense Enge, 5400 Bogense</v>
      </c>
      <c r="B70">
        <v>2677507</v>
      </c>
    </row>
    <row r="71" spans="1:2" x14ac:dyDescent="0.25">
      <c r="A71" t="str">
        <v>Storkenhøjvej 185, Fogense Enge, 5400 Bogense</v>
      </c>
      <c r="B71">
        <v>2677510</v>
      </c>
    </row>
    <row r="72" spans="1:2" x14ac:dyDescent="0.25">
      <c r="A72" t="str">
        <v>Storkenhøjvej 237, Fogense Enge, 5400 Bogense</v>
      </c>
      <c r="B72">
        <v>2677511</v>
      </c>
    </row>
    <row r="73" spans="1:2" x14ac:dyDescent="0.25">
      <c r="A73" t="str">
        <v>Storkenhøjvej 171, Fogense Enge, 5400 Bogense</v>
      </c>
      <c r="B73">
        <v>2677515</v>
      </c>
    </row>
    <row r="74" spans="1:2" x14ac:dyDescent="0.25">
      <c r="A74" t="str">
        <v>Storkenhøjvej 181, Fogense Enge, 5400 Bogense</v>
      </c>
      <c r="B74">
        <v>2677519</v>
      </c>
    </row>
    <row r="75" spans="1:2" x14ac:dyDescent="0.25">
      <c r="A75" t="str">
        <v>Storkenhøjvej 179, Fogense Enge, 5400 Bogense</v>
      </c>
      <c r="B75">
        <v>2677520</v>
      </c>
    </row>
    <row r="76" spans="1:2" x14ac:dyDescent="0.25">
      <c r="A76" t="str">
        <v>Storkenhøjvej 161, Fogense Enge, 5400 Bogense</v>
      </c>
      <c r="B76">
        <v>2677523</v>
      </c>
    </row>
    <row r="77" spans="1:2" x14ac:dyDescent="0.25">
      <c r="A77" t="str">
        <v>Storkenhøjvej 155, Fogense Enge, 5400 Bogense</v>
      </c>
      <c r="B77">
        <v>2677526</v>
      </c>
    </row>
    <row r="78" spans="1:2" x14ac:dyDescent="0.25">
      <c r="A78" t="str">
        <v>Storkenhøjvej 157, Fogense Enge, 5400 Bogense</v>
      </c>
      <c r="B78">
        <v>2677527</v>
      </c>
    </row>
    <row r="79" spans="1:2" x14ac:dyDescent="0.25">
      <c r="A79" t="str">
        <v>Huggetvej 112, Skovby Nymark, 5400 Bogense</v>
      </c>
      <c r="B79">
        <v>2677529</v>
      </c>
    </row>
    <row r="80" spans="1:2" x14ac:dyDescent="0.25">
      <c r="A80" t="str">
        <v>Storkenhøjvej 147, Fogense Enge, 5400 Bogense</v>
      </c>
      <c r="B80">
        <v>2677531</v>
      </c>
    </row>
    <row r="81" spans="1:2" x14ac:dyDescent="0.25">
      <c r="A81">
        <v>0</v>
      </c>
      <c r="B81">
        <v>2677535</v>
      </c>
    </row>
    <row r="82" spans="1:2" x14ac:dyDescent="0.25">
      <c r="A82" t="str">
        <v>Storkenhøjvej 159, Fogense Enge, 5400 Bogense</v>
      </c>
      <c r="B82">
        <v>2677537</v>
      </c>
    </row>
    <row r="83" spans="1:2" x14ac:dyDescent="0.25">
      <c r="A83" t="str">
        <v>Storkenhøjvej 151, Fogense Enge, 5400 Bogense</v>
      </c>
      <c r="B83">
        <v>2677540</v>
      </c>
    </row>
    <row r="84" spans="1:2" x14ac:dyDescent="0.25">
      <c r="A84" t="str">
        <v>Storkenhøjvej 149, Fogense Enge, 5400 Bogense</v>
      </c>
      <c r="B84">
        <v>2677541</v>
      </c>
    </row>
    <row r="85" spans="1:2" x14ac:dyDescent="0.25">
      <c r="A85" t="str">
        <v>Huggetvej 122, Skovby Nymark, 5400 Bogense</v>
      </c>
      <c r="B85">
        <v>2677545</v>
      </c>
    </row>
    <row r="86" spans="1:2" x14ac:dyDescent="0.25">
      <c r="A86" t="str">
        <v>Storkenhøjvej 211, Fogense Enge, 5400 Bogense</v>
      </c>
      <c r="B86">
        <v>2677547</v>
      </c>
    </row>
    <row r="87" spans="1:2" x14ac:dyDescent="0.25">
      <c r="A87" t="str">
        <v>Storkenhøjvej 213, Fogense Enge, 5400 Bogense</v>
      </c>
      <c r="B87">
        <v>2677548</v>
      </c>
    </row>
    <row r="88" spans="1:2" x14ac:dyDescent="0.25">
      <c r="A88" t="str">
        <v>Storkenhøjvej 205, Fogense Enge, 5400 Bogense</v>
      </c>
      <c r="B88">
        <v>2677549</v>
      </c>
    </row>
    <row r="89" spans="1:2" x14ac:dyDescent="0.25">
      <c r="A89" t="str">
        <v>Storkenhøjvej 203, Fogense Enge, 5400 Bogense</v>
      </c>
      <c r="B89">
        <v>2677550</v>
      </c>
    </row>
    <row r="90" spans="1:2" x14ac:dyDescent="0.25">
      <c r="A90" t="str">
        <v>Storkenhøjvej 209, Fogense Enge, 5400 Bogense</v>
      </c>
      <c r="B90">
        <v>2677552</v>
      </c>
    </row>
    <row r="91" spans="1:2" x14ac:dyDescent="0.25">
      <c r="A91" t="str">
        <v>Storkenhøjvej 201, Fogense Enge, 5400 Bogense</v>
      </c>
      <c r="B91">
        <v>2677553</v>
      </c>
    </row>
    <row r="92" spans="1:2" x14ac:dyDescent="0.25">
      <c r="A92" t="str">
        <v>Storkenhøjvej 215, Fogense Enge, 5400 Bogense</v>
      </c>
      <c r="B92">
        <v>2677554</v>
      </c>
    </row>
    <row r="93" spans="1:2" x14ac:dyDescent="0.25">
      <c r="A93" t="str">
        <v>Storkenhøjvej 207, Fogense Enge, 5400 Bogense</v>
      </c>
      <c r="B93">
        <v>2677557</v>
      </c>
    </row>
    <row r="94" spans="1:2" x14ac:dyDescent="0.25">
      <c r="A94" t="str">
        <v>Storkenhøjvej 197, Fogense Enge, 5400 Bogense</v>
      </c>
      <c r="B94">
        <v>2677560</v>
      </c>
    </row>
    <row r="95" spans="1:2" x14ac:dyDescent="0.25">
      <c r="A95" t="str">
        <v>Storkenhøjvej 199, Fogense Enge, 5400 Bogense</v>
      </c>
      <c r="B95">
        <v>2677561</v>
      </c>
    </row>
    <row r="96" spans="1:2" x14ac:dyDescent="0.25">
      <c r="A96" t="str">
        <v>Storkenhøjvej 193, Fogense Enge, 5400 Bogense</v>
      </c>
      <c r="B96">
        <v>2677567</v>
      </c>
    </row>
    <row r="97" spans="1:2" x14ac:dyDescent="0.25">
      <c r="A97" t="str">
        <v>Donnervej 16, Skovby Nymark, 5400 Bogense</v>
      </c>
      <c r="B97">
        <v>2677568</v>
      </c>
    </row>
    <row r="98" spans="1:2" x14ac:dyDescent="0.25">
      <c r="A98" t="str">
        <v>Storkenhøjvej 191, Fogense Enge, 5400 Bogense</v>
      </c>
      <c r="B98">
        <v>2677569</v>
      </c>
    </row>
    <row r="99" spans="1:2" x14ac:dyDescent="0.25">
      <c r="A99" t="str">
        <v>Storkenhøjvej 195, Fogense Enge, 5400 Bogense</v>
      </c>
      <c r="B99">
        <v>2677571</v>
      </c>
    </row>
    <row r="100" spans="1:2" x14ac:dyDescent="0.25">
      <c r="A100" t="str">
        <v>Storkenhøjvej 187, Fogense Enge, 5400 Bogense</v>
      </c>
      <c r="B100">
        <v>2677572</v>
      </c>
    </row>
    <row r="101" spans="1:2" x14ac:dyDescent="0.25">
      <c r="A101" t="str">
        <v>Storkenhøjvej 189, Fogense Enge, 5400 Bogense</v>
      </c>
      <c r="B101">
        <v>2677573</v>
      </c>
    </row>
    <row r="102" spans="1:2" x14ac:dyDescent="0.25">
      <c r="A102" t="str">
        <v>Storkenhøjvej 217, Fogense Enge, 5400 Bogense</v>
      </c>
      <c r="B102">
        <v>2677576</v>
      </c>
    </row>
    <row r="103" spans="1:2" x14ac:dyDescent="0.25">
      <c r="A103" t="str">
        <v>Skovvej 42, 5400 Bogense</v>
      </c>
      <c r="B103">
        <v>2677757</v>
      </c>
    </row>
    <row r="104" spans="1:2" x14ac:dyDescent="0.25">
      <c r="A104" t="str">
        <v>Skovvej 40, 5400 Bogense</v>
      </c>
      <c r="B104">
        <v>2677765</v>
      </c>
    </row>
    <row r="105" spans="1:2" x14ac:dyDescent="0.25">
      <c r="A105" t="str">
        <v>Kristianslundsvej 4, Dammene, 5400 Bogense</v>
      </c>
      <c r="B105">
        <v>2677770</v>
      </c>
    </row>
    <row r="106" spans="1:2" x14ac:dyDescent="0.25">
      <c r="A106" t="str">
        <v>Hornskovvej 15, Harritslev F, 5400 Bogense</v>
      </c>
      <c r="B106">
        <v>2677774</v>
      </c>
    </row>
    <row r="107" spans="1:2" x14ac:dyDescent="0.25">
      <c r="A107" t="str">
        <v>Kristianslundsvej 12, Dammene, 5400 Bogense</v>
      </c>
      <c r="B107">
        <v>2677775</v>
      </c>
    </row>
    <row r="108" spans="1:2" x14ac:dyDescent="0.25">
      <c r="A108" t="str">
        <v>Kristianslundsvej 16, 5400 Bogense</v>
      </c>
      <c r="B108">
        <v>2677845</v>
      </c>
    </row>
    <row r="109" spans="1:2" x14ac:dyDescent="0.25">
      <c r="A109">
        <v>0</v>
      </c>
      <c r="B109">
        <v>2677847</v>
      </c>
    </row>
    <row r="110" spans="1:2" x14ac:dyDescent="0.25">
      <c r="A110">
        <v>0</v>
      </c>
      <c r="B110">
        <v>2677848</v>
      </c>
    </row>
    <row r="111" spans="1:2" x14ac:dyDescent="0.25">
      <c r="A111" t="str">
        <v>Havnefronten 1, 5400 Bogense</v>
      </c>
      <c r="B111">
        <v>5442949</v>
      </c>
    </row>
    <row r="112" spans="1:2" x14ac:dyDescent="0.25">
      <c r="A112" t="str">
        <v>Havnefronten 1, 1., 5400 Bogense</v>
      </c>
      <c r="B112">
        <v>5442949</v>
      </c>
    </row>
    <row r="113" spans="1:2" x14ac:dyDescent="0.25">
      <c r="A113" t="str">
        <v>Havnefronten 1, 2., 5400 Bogense</v>
      </c>
      <c r="B113">
        <v>5442949</v>
      </c>
    </row>
    <row r="114" spans="1:2" x14ac:dyDescent="0.25">
      <c r="A114" t="str">
        <v>Havnefronten 1, st., 5400 Bogense</v>
      </c>
      <c r="B114">
        <v>5442949</v>
      </c>
    </row>
    <row r="115" spans="1:2" x14ac:dyDescent="0.25">
      <c r="A115" t="str">
        <v>Havnefronten 11, 1., 5400 Bogense</v>
      </c>
      <c r="B115">
        <v>5442949</v>
      </c>
    </row>
    <row r="116" spans="1:2" x14ac:dyDescent="0.25">
      <c r="A116" t="str">
        <v>Havnefronten 11, 2., 5400 Bogense</v>
      </c>
      <c r="B116">
        <v>5442949</v>
      </c>
    </row>
    <row r="117" spans="1:2" x14ac:dyDescent="0.25">
      <c r="A117" t="str">
        <v>Havnefronten 11, st., 5400 Bogense</v>
      </c>
      <c r="B117">
        <v>5442949</v>
      </c>
    </row>
    <row r="118" spans="1:2" x14ac:dyDescent="0.25">
      <c r="A118" t="str">
        <v>Havnefronten 13, 1., 5400 Bogense</v>
      </c>
      <c r="B118">
        <v>5442949</v>
      </c>
    </row>
    <row r="119" spans="1:2" x14ac:dyDescent="0.25">
      <c r="A119" t="str">
        <v>Havnefronten 13, 2., 5400 Bogense</v>
      </c>
      <c r="B119">
        <v>5442949</v>
      </c>
    </row>
    <row r="120" spans="1:2" x14ac:dyDescent="0.25">
      <c r="A120" t="str">
        <v>Havnefronten 13, st., 5400 Bogense</v>
      </c>
      <c r="B120">
        <v>5442949</v>
      </c>
    </row>
    <row r="121" spans="1:2" x14ac:dyDescent="0.25">
      <c r="A121" t="str">
        <v>Havnefronten 3, 1., 5400 Bogense</v>
      </c>
      <c r="B121">
        <v>5442949</v>
      </c>
    </row>
    <row r="122" spans="1:2" x14ac:dyDescent="0.25">
      <c r="A122" t="str">
        <v>Havnefronten 3, 2., 5400 Bogense</v>
      </c>
      <c r="B122">
        <v>5442949</v>
      </c>
    </row>
    <row r="123" spans="1:2" x14ac:dyDescent="0.25">
      <c r="A123" t="str">
        <v>Havnefronten 3, st., 5400 Bogense</v>
      </c>
      <c r="B123">
        <v>5442949</v>
      </c>
    </row>
    <row r="124" spans="1:2" x14ac:dyDescent="0.25">
      <c r="A124" t="str">
        <v>Havnefronten 5, 1., 5400 Bogense</v>
      </c>
      <c r="B124">
        <v>5442949</v>
      </c>
    </row>
    <row r="125" spans="1:2" x14ac:dyDescent="0.25">
      <c r="A125" t="str">
        <v>Havnefronten 5, 2., 5400 Bogense</v>
      </c>
      <c r="B125">
        <v>5442949</v>
      </c>
    </row>
    <row r="126" spans="1:2" x14ac:dyDescent="0.25">
      <c r="A126" t="str">
        <v>Havnefronten 5, st., 5400 Bogense</v>
      </c>
      <c r="B126">
        <v>5442949</v>
      </c>
    </row>
    <row r="127" spans="1:2" x14ac:dyDescent="0.25">
      <c r="A127" t="str">
        <v>Havnefronten 7, 1., 5400 Bogense</v>
      </c>
      <c r="B127">
        <v>5442949</v>
      </c>
    </row>
    <row r="128" spans="1:2" x14ac:dyDescent="0.25">
      <c r="A128" t="str">
        <v>Havnefronten 7, 2., 5400 Bogense</v>
      </c>
      <c r="B128">
        <v>5442949</v>
      </c>
    </row>
    <row r="129" spans="1:2" x14ac:dyDescent="0.25">
      <c r="A129" t="str">
        <v>Havnefronten 7, st., 5400 Bogense</v>
      </c>
      <c r="B129">
        <v>5442949</v>
      </c>
    </row>
    <row r="130" spans="1:2" x14ac:dyDescent="0.25">
      <c r="A130" t="str">
        <v>Havnefronten 9, 1., 5400 Bogense</v>
      </c>
      <c r="B130">
        <v>5442949</v>
      </c>
    </row>
    <row r="131" spans="1:2" x14ac:dyDescent="0.25">
      <c r="A131" t="str">
        <v>Havnefronten 9, 2., 5400 Bogense</v>
      </c>
      <c r="B131">
        <v>5442949</v>
      </c>
    </row>
    <row r="132" spans="1:2" x14ac:dyDescent="0.25">
      <c r="A132" t="str">
        <v>Havnefronten 9, st., 5400 Bogense</v>
      </c>
      <c r="B132">
        <v>5442949</v>
      </c>
    </row>
    <row r="133" spans="1:2" x14ac:dyDescent="0.25">
      <c r="A133" t="str">
        <v>Jernbanegade 6, 5400 Bogense</v>
      </c>
      <c r="B133">
        <v>5442950</v>
      </c>
    </row>
    <row r="134" spans="1:2" x14ac:dyDescent="0.25">
      <c r="A134" t="str">
        <v>Jernbanegade 8, 5400 Bogense</v>
      </c>
      <c r="B134">
        <v>5442951</v>
      </c>
    </row>
    <row r="135" spans="1:2" x14ac:dyDescent="0.25">
      <c r="A135" t="str">
        <v>Adelgade 2A, 5400 Bogense</v>
      </c>
      <c r="B135">
        <v>5442954</v>
      </c>
    </row>
    <row r="136" spans="1:2" x14ac:dyDescent="0.25">
      <c r="A136" t="str">
        <v>Adelgade 2A, st. th, 5400 Bogense</v>
      </c>
      <c r="B136">
        <v>5442954</v>
      </c>
    </row>
    <row r="137" spans="1:2" x14ac:dyDescent="0.25">
      <c r="A137" t="str">
        <v>Adelgade 2B, st. tv, 5400 Bogense</v>
      </c>
      <c r="B137">
        <v>5442954</v>
      </c>
    </row>
    <row r="138" spans="1:2" x14ac:dyDescent="0.25">
      <c r="A138" t="str">
        <v>Vestergade 1A, 5400 Bogense</v>
      </c>
      <c r="B138">
        <v>5442954</v>
      </c>
    </row>
    <row r="139" spans="1:2" x14ac:dyDescent="0.25">
      <c r="A139" t="str">
        <v>Vestergade 1D, 1., 5400 Bogense</v>
      </c>
      <c r="B139">
        <v>5442954</v>
      </c>
    </row>
    <row r="140" spans="1:2" x14ac:dyDescent="0.25">
      <c r="A140" t="str">
        <v>Vestergade 1D, st., 5400 Bogense</v>
      </c>
      <c r="B140">
        <v>5442954</v>
      </c>
    </row>
    <row r="141" spans="1:2" x14ac:dyDescent="0.25">
      <c r="A141" t="str">
        <v>Vestergade 1E, 5400 Bogense</v>
      </c>
      <c r="B141">
        <v>5442954</v>
      </c>
    </row>
    <row r="142" spans="1:2" x14ac:dyDescent="0.25">
      <c r="A142" t="str">
        <v>Vestergade 1F, 5400 Bogense</v>
      </c>
      <c r="B142">
        <v>5442954</v>
      </c>
    </row>
    <row r="143" spans="1:2" x14ac:dyDescent="0.25">
      <c r="A143" t="str">
        <v>Vestergade 3, 5400 Bogense</v>
      </c>
      <c r="B143">
        <v>5442954</v>
      </c>
    </row>
    <row r="144" spans="1:2" x14ac:dyDescent="0.25">
      <c r="A144" t="str">
        <v>Adelgade 4, 5400 Bogense</v>
      </c>
      <c r="B144">
        <v>5442955</v>
      </c>
    </row>
    <row r="145" spans="1:2" x14ac:dyDescent="0.25">
      <c r="A145" t="str">
        <v>Adelgade 6, 5400 Bogense</v>
      </c>
      <c r="B145">
        <v>5442956</v>
      </c>
    </row>
    <row r="146" spans="1:2" x14ac:dyDescent="0.25">
      <c r="A146" t="str">
        <v>Adelgade 8, 5400 Bogense</v>
      </c>
      <c r="B146">
        <v>5442957</v>
      </c>
    </row>
    <row r="147" spans="1:2" x14ac:dyDescent="0.25">
      <c r="A147" t="str">
        <v>Adelgade 10, 5400 Bogense</v>
      </c>
      <c r="B147">
        <v>5442958</v>
      </c>
    </row>
    <row r="148" spans="1:2" x14ac:dyDescent="0.25">
      <c r="A148" t="str">
        <v>Adelgade 10, 5400 Bogense</v>
      </c>
      <c r="B148">
        <v>5442958</v>
      </c>
    </row>
    <row r="149" spans="1:2" x14ac:dyDescent="0.25">
      <c r="A149" t="str">
        <v>Adelgade 10A, 5400 Bogense</v>
      </c>
      <c r="B149">
        <v>5442958</v>
      </c>
    </row>
    <row r="150" spans="1:2" x14ac:dyDescent="0.25">
      <c r="A150" t="str">
        <v>Adelgade 12A, 5400 Bogense</v>
      </c>
      <c r="B150">
        <v>5442965</v>
      </c>
    </row>
    <row r="151" spans="1:2" x14ac:dyDescent="0.25">
      <c r="A151" t="str">
        <v>Adelgade 12A, 5400 Bogense</v>
      </c>
      <c r="B151">
        <v>5442965</v>
      </c>
    </row>
    <row r="152" spans="1:2" x14ac:dyDescent="0.25">
      <c r="A152" t="str">
        <v>Adelgade 12B, 1. th, 5400 Bogense</v>
      </c>
      <c r="B152">
        <v>5442965</v>
      </c>
    </row>
    <row r="153" spans="1:2" x14ac:dyDescent="0.25">
      <c r="A153" t="str">
        <v>Adelgade 12B, 1. tv, 5400 Bogense</v>
      </c>
      <c r="B153">
        <v>5442965</v>
      </c>
    </row>
    <row r="154" spans="1:2" x14ac:dyDescent="0.25">
      <c r="A154" t="str">
        <v>Adelgade 12B, st. th, 5400 Bogense</v>
      </c>
      <c r="B154">
        <v>5442965</v>
      </c>
    </row>
    <row r="155" spans="1:2" x14ac:dyDescent="0.25">
      <c r="A155" t="str">
        <v>Adelgade 12B, st. tv, 5400 Bogense</v>
      </c>
      <c r="B155">
        <v>5442965</v>
      </c>
    </row>
    <row r="156" spans="1:2" x14ac:dyDescent="0.25">
      <c r="A156" t="str">
        <v>Adelgade 12C, 1. 1, 5400 Bogense</v>
      </c>
      <c r="B156">
        <v>5442965</v>
      </c>
    </row>
    <row r="157" spans="1:2" x14ac:dyDescent="0.25">
      <c r="A157" t="str">
        <v>Adelgade 12C, 1. 2, 5400 Bogense</v>
      </c>
      <c r="B157">
        <v>5442965</v>
      </c>
    </row>
    <row r="158" spans="1:2" x14ac:dyDescent="0.25">
      <c r="A158" t="str">
        <v>Adelgade 12C, 1. 3, 5400 Bogense</v>
      </c>
      <c r="B158">
        <v>5442965</v>
      </c>
    </row>
    <row r="159" spans="1:2" x14ac:dyDescent="0.25">
      <c r="A159" t="str">
        <v>Adelgade 12C, 2. th, 5400 Bogense</v>
      </c>
      <c r="B159">
        <v>5442965</v>
      </c>
    </row>
    <row r="160" spans="1:2" x14ac:dyDescent="0.25">
      <c r="A160" t="str">
        <v>Adelgade 12C, 2. tv, 5400 Bogense</v>
      </c>
      <c r="B160">
        <v>5442965</v>
      </c>
    </row>
    <row r="161" spans="1:2" x14ac:dyDescent="0.25">
      <c r="A161" t="str">
        <v>Adelgade 12C, st. th, 5400 Bogense</v>
      </c>
      <c r="B161">
        <v>5442965</v>
      </c>
    </row>
    <row r="162" spans="1:2" x14ac:dyDescent="0.25">
      <c r="A162" t="str">
        <v>Adelgade 12C, st. tv, 5400 Bogense</v>
      </c>
      <c r="B162">
        <v>5442965</v>
      </c>
    </row>
    <row r="163" spans="1:2" x14ac:dyDescent="0.25">
      <c r="A163" t="str">
        <v>Adelgade 12D, 1. th, 5400 Bogense</v>
      </c>
      <c r="B163">
        <v>5442965</v>
      </c>
    </row>
    <row r="164" spans="1:2" x14ac:dyDescent="0.25">
      <c r="A164" t="str">
        <v>Adelgade 12D, 1. tv, 5400 Bogense</v>
      </c>
      <c r="B164">
        <v>5442965</v>
      </c>
    </row>
    <row r="165" spans="1:2" x14ac:dyDescent="0.25">
      <c r="A165" t="str">
        <v>Adelgade 12D, st. th, 5400 Bogense</v>
      </c>
      <c r="B165">
        <v>5442965</v>
      </c>
    </row>
    <row r="166" spans="1:2" x14ac:dyDescent="0.25">
      <c r="A166" t="str">
        <v>Adelgade 12D, st. tv, 5400 Bogense</v>
      </c>
      <c r="B166">
        <v>5442965</v>
      </c>
    </row>
    <row r="167" spans="1:2" x14ac:dyDescent="0.25">
      <c r="A167" t="str">
        <v>Adelgade 14A, 5400 Bogense</v>
      </c>
      <c r="B167">
        <v>5442965</v>
      </c>
    </row>
    <row r="168" spans="1:2" x14ac:dyDescent="0.25">
      <c r="A168" t="str">
        <v>Adelgade 14B, 5400 Bogense</v>
      </c>
      <c r="B168">
        <v>5442965</v>
      </c>
    </row>
    <row r="169" spans="1:2" x14ac:dyDescent="0.25">
      <c r="A169" t="str">
        <v>Adelgade 14C, 5400 Bogense</v>
      </c>
      <c r="B169">
        <v>5442965</v>
      </c>
    </row>
    <row r="170" spans="1:2" x14ac:dyDescent="0.25">
      <c r="A170" t="str">
        <v>Adelgade 14D, 1. th, 5400 Bogense</v>
      </c>
      <c r="B170">
        <v>5442965</v>
      </c>
    </row>
    <row r="171" spans="1:2" x14ac:dyDescent="0.25">
      <c r="A171" t="str">
        <v>Adelgade 14D, 1. tv, 5400 Bogense</v>
      </c>
      <c r="B171">
        <v>5442965</v>
      </c>
    </row>
    <row r="172" spans="1:2" x14ac:dyDescent="0.25">
      <c r="A172" t="str">
        <v>Adelgade 14D, st. th, 5400 Bogense</v>
      </c>
      <c r="B172">
        <v>5442965</v>
      </c>
    </row>
    <row r="173" spans="1:2" x14ac:dyDescent="0.25">
      <c r="A173" t="str">
        <v>Adelgade 14D, st. tv, 5400 Bogense</v>
      </c>
      <c r="B173">
        <v>5442965</v>
      </c>
    </row>
    <row r="174" spans="1:2" x14ac:dyDescent="0.25">
      <c r="A174" t="str">
        <v>Adelgade 14E, 1. th, 5400 Bogense</v>
      </c>
      <c r="B174">
        <v>5442965</v>
      </c>
    </row>
    <row r="175" spans="1:2" x14ac:dyDescent="0.25">
      <c r="A175" t="str">
        <v>Adelgade 14E, 1. tv, 5400 Bogense</v>
      </c>
      <c r="B175">
        <v>5442965</v>
      </c>
    </row>
    <row r="176" spans="1:2" x14ac:dyDescent="0.25">
      <c r="A176" t="str">
        <v>Adelgade 14E, 2., 5400 Bogense</v>
      </c>
      <c r="B176">
        <v>5442965</v>
      </c>
    </row>
    <row r="177" spans="1:2" x14ac:dyDescent="0.25">
      <c r="A177" t="str">
        <v>Adelgade 14E, st. th, 5400 Bogense</v>
      </c>
      <c r="B177">
        <v>5442965</v>
      </c>
    </row>
    <row r="178" spans="1:2" x14ac:dyDescent="0.25">
      <c r="A178" t="str">
        <v>Adelgade 14E, st. tv, 5400 Bogense</v>
      </c>
      <c r="B178">
        <v>5442965</v>
      </c>
    </row>
    <row r="179" spans="1:2" x14ac:dyDescent="0.25">
      <c r="A179" t="str">
        <v>Adelgade 14F, 1. th, 5400 Bogense</v>
      </c>
      <c r="B179">
        <v>5442965</v>
      </c>
    </row>
    <row r="180" spans="1:2" x14ac:dyDescent="0.25">
      <c r="A180" t="str">
        <v>Adelgade 14F, 1. tv, 5400 Bogense</v>
      </c>
      <c r="B180">
        <v>5442965</v>
      </c>
    </row>
    <row r="181" spans="1:2" x14ac:dyDescent="0.25">
      <c r="A181" t="str">
        <v>Adelgade 14F, 2. th, 5400 Bogense</v>
      </c>
      <c r="B181">
        <v>5442965</v>
      </c>
    </row>
    <row r="182" spans="1:2" x14ac:dyDescent="0.25">
      <c r="A182" t="str">
        <v>Adelgade 14F, 2. tv, 5400 Bogense</v>
      </c>
      <c r="B182">
        <v>5442965</v>
      </c>
    </row>
    <row r="183" spans="1:2" x14ac:dyDescent="0.25">
      <c r="A183" t="str">
        <v>Adelgade 14F, st. th, 5400 Bogense</v>
      </c>
      <c r="B183">
        <v>5442965</v>
      </c>
    </row>
    <row r="184" spans="1:2" x14ac:dyDescent="0.25">
      <c r="A184" t="str">
        <v>Adelgade 14F, st. tv, 5400 Bogense</v>
      </c>
      <c r="B184">
        <v>5442965</v>
      </c>
    </row>
    <row r="185" spans="1:2" x14ac:dyDescent="0.25">
      <c r="A185" t="str">
        <v>Adelgade 14G, st. th, 5400 Bogense</v>
      </c>
      <c r="B185">
        <v>5442965</v>
      </c>
    </row>
    <row r="186" spans="1:2" x14ac:dyDescent="0.25">
      <c r="A186" t="str">
        <v>Adelgade 14G, st. tv, 5400 Bogense</v>
      </c>
      <c r="B186">
        <v>5442965</v>
      </c>
    </row>
    <row r="187" spans="1:2" x14ac:dyDescent="0.25">
      <c r="A187" t="str">
        <v>Adelgade 16, 5400 Bogense</v>
      </c>
      <c r="B187">
        <v>5442966</v>
      </c>
    </row>
    <row r="188" spans="1:2" x14ac:dyDescent="0.25">
      <c r="A188" t="str">
        <v>Adelgade 18, 5400 Bogense</v>
      </c>
      <c r="B188">
        <v>5442969</v>
      </c>
    </row>
    <row r="189" spans="1:2" x14ac:dyDescent="0.25">
      <c r="A189" t="str">
        <v>Adelgade 20, 5400 Bogense</v>
      </c>
      <c r="B189">
        <v>5442970</v>
      </c>
    </row>
    <row r="190" spans="1:2" x14ac:dyDescent="0.25">
      <c r="A190" t="str">
        <v>Adelgade 22A, 5400 Bogense</v>
      </c>
      <c r="B190">
        <v>5442971</v>
      </c>
    </row>
    <row r="191" spans="1:2" x14ac:dyDescent="0.25">
      <c r="A191" t="str">
        <v>Adelgade 22A, 5400 Bogense</v>
      </c>
      <c r="B191">
        <v>5442971</v>
      </c>
    </row>
    <row r="192" spans="1:2" x14ac:dyDescent="0.25">
      <c r="A192" t="str">
        <v>Adelgade 22B, 5400 Bogense</v>
      </c>
      <c r="B192">
        <v>5442971</v>
      </c>
    </row>
    <row r="193" spans="1:2" x14ac:dyDescent="0.25">
      <c r="A193" t="str">
        <v>Adelgade 22C, 5400 Bogense</v>
      </c>
      <c r="B193">
        <v>5442971</v>
      </c>
    </row>
    <row r="194" spans="1:2" x14ac:dyDescent="0.25">
      <c r="A194" t="str">
        <v>Adelgade 24, 5400 Bogense</v>
      </c>
      <c r="B194">
        <v>5442972</v>
      </c>
    </row>
    <row r="195" spans="1:2" x14ac:dyDescent="0.25">
      <c r="A195" t="str">
        <v>Adelgade 26A, st. th, 5400 Bogense</v>
      </c>
      <c r="B195">
        <v>286561</v>
      </c>
    </row>
    <row r="196" spans="1:2" x14ac:dyDescent="0.25">
      <c r="A196" t="str">
        <v>Adelgade 26A, st. tv, 5400 Bogense</v>
      </c>
      <c r="B196">
        <v>286561</v>
      </c>
    </row>
    <row r="197" spans="1:2" x14ac:dyDescent="0.25">
      <c r="A197" t="str">
        <v>Adelgade 26B, 5400 Bogense</v>
      </c>
      <c r="B197">
        <v>286561</v>
      </c>
    </row>
    <row r="198" spans="1:2" x14ac:dyDescent="0.25">
      <c r="A198" t="str">
        <v>Jernbanegade 2A, st., 5400 Bogense</v>
      </c>
      <c r="B198">
        <v>286561</v>
      </c>
    </row>
    <row r="199" spans="1:2" x14ac:dyDescent="0.25">
      <c r="A199" t="str">
        <v>Jernbanegade 2B, st. th, 5400 Bogense</v>
      </c>
      <c r="B199">
        <v>286561</v>
      </c>
    </row>
    <row r="200" spans="1:2" x14ac:dyDescent="0.25">
      <c r="A200" t="str">
        <v>Jernbanegade 2B, st. tv, 5400 Bogense</v>
      </c>
      <c r="B200">
        <v>286561</v>
      </c>
    </row>
    <row r="201" spans="1:2" x14ac:dyDescent="0.25">
      <c r="A201" t="str">
        <v>Jernbanegade 2C, 1. tv, 5400 Bogense</v>
      </c>
      <c r="B201">
        <v>286562</v>
      </c>
    </row>
    <row r="202" spans="1:2" x14ac:dyDescent="0.25">
      <c r="A202" t="str">
        <v>Jernbanegade 2C, 1. th, 5400 Bogense</v>
      </c>
      <c r="B202">
        <v>286563</v>
      </c>
    </row>
    <row r="203" spans="1:2" x14ac:dyDescent="0.25">
      <c r="A203" t="str">
        <v>Jernbanegade 2D, 1., 5400 Bogense</v>
      </c>
      <c r="B203">
        <v>286564</v>
      </c>
    </row>
    <row r="204" spans="1:2" x14ac:dyDescent="0.25">
      <c r="A204" t="str">
        <v>Jernbanegade 2B, 1. tv, 5400 Bogense</v>
      </c>
      <c r="B204">
        <v>286565</v>
      </c>
    </row>
    <row r="205" spans="1:2" x14ac:dyDescent="0.25">
      <c r="A205" t="str">
        <v>Jernbanegade 2B, 1. th, 5400 Bogense</v>
      </c>
      <c r="B205">
        <v>286566</v>
      </c>
    </row>
    <row r="206" spans="1:2" x14ac:dyDescent="0.25">
      <c r="A206" t="str">
        <v>Jernbanegade 4, 5400 Bogense</v>
      </c>
      <c r="B206">
        <v>5442974</v>
      </c>
    </row>
    <row r="207" spans="1:2" x14ac:dyDescent="0.25">
      <c r="A207" t="str">
        <v>Jernbanegade 4, 1., 5400 Bogense</v>
      </c>
      <c r="B207">
        <v>5442974</v>
      </c>
    </row>
    <row r="208" spans="1:2" x14ac:dyDescent="0.25">
      <c r="A208" t="str">
        <v>Jernbanegade 4, 2., 5400 Bogense</v>
      </c>
      <c r="B208">
        <v>5442974</v>
      </c>
    </row>
    <row r="209" spans="1:2" x14ac:dyDescent="0.25">
      <c r="A209" t="str">
        <v>Jernbanegade 4, st., 5400 Bogense</v>
      </c>
      <c r="B209">
        <v>5442974</v>
      </c>
    </row>
    <row r="210" spans="1:2" x14ac:dyDescent="0.25">
      <c r="A210" t="str">
        <v>Adelgade 28, 5400 Bogense</v>
      </c>
      <c r="B210">
        <v>5442975</v>
      </c>
    </row>
    <row r="211" spans="1:2" x14ac:dyDescent="0.25">
      <c r="A211" t="str">
        <v>Adelgade 28, 5400 Bogense</v>
      </c>
      <c r="B211">
        <v>5442975</v>
      </c>
    </row>
    <row r="212" spans="1:2" x14ac:dyDescent="0.25">
      <c r="A212" t="str">
        <v>Jernbanegade 1, 5400 Bogense</v>
      </c>
      <c r="B212">
        <v>5442975</v>
      </c>
    </row>
    <row r="213" spans="1:2" x14ac:dyDescent="0.25">
      <c r="A213" t="str">
        <v>Jernbanegade 3, 5400 Bogense</v>
      </c>
      <c r="B213">
        <v>5442975</v>
      </c>
    </row>
    <row r="214" spans="1:2" x14ac:dyDescent="0.25">
      <c r="A214" t="str">
        <v>Adelgade 30A, 5400 Bogense</v>
      </c>
      <c r="B214">
        <v>5442976</v>
      </c>
    </row>
    <row r="215" spans="1:2" x14ac:dyDescent="0.25">
      <c r="A215" t="str">
        <v>Adelgade 30A, 5400 Bogense</v>
      </c>
      <c r="B215">
        <v>5442976</v>
      </c>
    </row>
    <row r="216" spans="1:2" x14ac:dyDescent="0.25">
      <c r="A216" t="str">
        <v>Adelgade 30B, 5400 Bogense</v>
      </c>
      <c r="B216">
        <v>5442976</v>
      </c>
    </row>
    <row r="217" spans="1:2" x14ac:dyDescent="0.25">
      <c r="A217" t="str">
        <v>Adelgade 30C, 5400 Bogense</v>
      </c>
      <c r="B217">
        <v>5442976</v>
      </c>
    </row>
    <row r="218" spans="1:2" x14ac:dyDescent="0.25">
      <c r="A218" t="str">
        <v>Adelgade 30D, 5400 Bogense</v>
      </c>
      <c r="B218">
        <v>5442976</v>
      </c>
    </row>
    <row r="219" spans="1:2" x14ac:dyDescent="0.25">
      <c r="A219" t="str">
        <v>Adelgade 30E, 5400 Bogense</v>
      </c>
      <c r="B219">
        <v>5442976</v>
      </c>
    </row>
    <row r="220" spans="1:2" x14ac:dyDescent="0.25">
      <c r="A220" t="str">
        <v>Adelgade 30F, 5400 Bogense</v>
      </c>
      <c r="B220">
        <v>5442976</v>
      </c>
    </row>
    <row r="221" spans="1:2" x14ac:dyDescent="0.25">
      <c r="A221" t="str">
        <v>Adelgade 30G, 5400 Bogense</v>
      </c>
      <c r="B221">
        <v>5442976</v>
      </c>
    </row>
    <row r="222" spans="1:2" x14ac:dyDescent="0.25">
      <c r="A222" t="str">
        <v>Adelgade 32A, 1., 5400 Bogense</v>
      </c>
      <c r="B222">
        <v>286567</v>
      </c>
    </row>
    <row r="223" spans="1:2" x14ac:dyDescent="0.25">
      <c r="A223" t="str">
        <v>Adelgade 32B, 5400 Bogense</v>
      </c>
      <c r="B223">
        <v>286568</v>
      </c>
    </row>
    <row r="224" spans="1:2" x14ac:dyDescent="0.25">
      <c r="A224" t="str">
        <v>Adelgade 32D, 5400 Bogense</v>
      </c>
      <c r="B224">
        <v>286569</v>
      </c>
    </row>
    <row r="225" spans="1:2" x14ac:dyDescent="0.25">
      <c r="A225" t="str">
        <v>Adelgade 32C, 5400 Bogense</v>
      </c>
      <c r="B225">
        <v>286570</v>
      </c>
    </row>
    <row r="226" spans="1:2" x14ac:dyDescent="0.25">
      <c r="A226" t="str">
        <v>Adelgade 32E, 5400 Bogense</v>
      </c>
      <c r="B226">
        <v>286570</v>
      </c>
    </row>
    <row r="227" spans="1:2" x14ac:dyDescent="0.25">
      <c r="A227" t="str">
        <v>Adelgade 32B, 5400 Bogense</v>
      </c>
      <c r="B227">
        <v>5442977</v>
      </c>
    </row>
    <row r="228" spans="1:2" x14ac:dyDescent="0.25">
      <c r="A228" t="str">
        <v>Adelgade 34A, st. 1, 5400 Bogense</v>
      </c>
      <c r="B228">
        <v>5442978</v>
      </c>
    </row>
    <row r="229" spans="1:2" x14ac:dyDescent="0.25">
      <c r="A229" t="str">
        <v>Adelgade 34B, 1., 5400 Bogense</v>
      </c>
      <c r="B229">
        <v>5442978</v>
      </c>
    </row>
    <row r="230" spans="1:2" x14ac:dyDescent="0.25">
      <c r="A230" t="str">
        <v>Adelgade 34B, 2., 5400 Bogense</v>
      </c>
      <c r="B230">
        <v>5442978</v>
      </c>
    </row>
    <row r="231" spans="1:2" x14ac:dyDescent="0.25">
      <c r="A231" t="str">
        <v>Adelgade 34B, st. 2, 5400 Bogense</v>
      </c>
      <c r="B231">
        <v>5442978</v>
      </c>
    </row>
    <row r="232" spans="1:2" x14ac:dyDescent="0.25">
      <c r="A232" t="str">
        <v>Adelgade 34C, st. 1, 5400 Bogense</v>
      </c>
      <c r="B232">
        <v>5442978</v>
      </c>
    </row>
    <row r="233" spans="1:2" x14ac:dyDescent="0.25">
      <c r="A233" t="str">
        <v>Adelgade 34C, st. 2, 5400 Bogense</v>
      </c>
      <c r="B233">
        <v>5442978</v>
      </c>
    </row>
    <row r="234" spans="1:2" x14ac:dyDescent="0.25">
      <c r="A234" t="str">
        <v>Adelgade 34C, st. 3, 5400 Bogense</v>
      </c>
      <c r="B234">
        <v>5442978</v>
      </c>
    </row>
    <row r="235" spans="1:2" x14ac:dyDescent="0.25">
      <c r="A235" t="str">
        <v>Vestergade 5, 5400 Bogense</v>
      </c>
      <c r="B235">
        <v>5442979</v>
      </c>
    </row>
    <row r="236" spans="1:2" x14ac:dyDescent="0.25">
      <c r="A236" t="str">
        <v>Adelgade 36, 5400 Bogense</v>
      </c>
      <c r="B236">
        <v>5442980</v>
      </c>
    </row>
    <row r="237" spans="1:2" x14ac:dyDescent="0.25">
      <c r="A237" t="str">
        <v>Adelgade 36, 1., 5400 Bogense</v>
      </c>
      <c r="B237">
        <v>5442980</v>
      </c>
    </row>
    <row r="238" spans="1:2" x14ac:dyDescent="0.25">
      <c r="A238" t="str">
        <v>Adelgade 36, 2., 5400 Bogense</v>
      </c>
      <c r="B238">
        <v>5442980</v>
      </c>
    </row>
    <row r="239" spans="1:2" x14ac:dyDescent="0.25">
      <c r="A239" t="str">
        <v>Adelgade 36, st., 5400 Bogense</v>
      </c>
      <c r="B239">
        <v>5442980</v>
      </c>
    </row>
    <row r="240" spans="1:2" x14ac:dyDescent="0.25">
      <c r="A240" t="str">
        <v>Vestergade 7, 5400 Bogense</v>
      </c>
      <c r="B240">
        <v>5442981</v>
      </c>
    </row>
    <row r="241" spans="1:2" x14ac:dyDescent="0.25">
      <c r="A241" t="str">
        <v>Adelgade 38A, 5400 Bogense</v>
      </c>
      <c r="B241">
        <v>286571</v>
      </c>
    </row>
    <row r="242" spans="1:2" x14ac:dyDescent="0.25">
      <c r="A242" t="str">
        <v>Adelgade 38B, 5400 Bogense</v>
      </c>
      <c r="B242">
        <v>286572</v>
      </c>
    </row>
    <row r="243" spans="1:2" x14ac:dyDescent="0.25">
      <c r="A243" t="str">
        <v>Adelgade 38C, 1. tv, 5400 Bogense</v>
      </c>
      <c r="B243">
        <v>286573</v>
      </c>
    </row>
    <row r="244" spans="1:2" x14ac:dyDescent="0.25">
      <c r="A244" t="str">
        <v>Adelgade 38C, 1. th, 5400 Bogense</v>
      </c>
      <c r="B244">
        <v>286574</v>
      </c>
    </row>
    <row r="245" spans="1:2" x14ac:dyDescent="0.25">
      <c r="A245" t="str">
        <v>Adelgade 40B, 5400 Bogense</v>
      </c>
      <c r="B245">
        <v>5442984</v>
      </c>
    </row>
    <row r="246" spans="1:2" x14ac:dyDescent="0.25">
      <c r="A246" t="str">
        <v>Adelgade 40A, 1., 5400 Bogense</v>
      </c>
      <c r="B246">
        <v>5442984</v>
      </c>
    </row>
    <row r="247" spans="1:2" x14ac:dyDescent="0.25">
      <c r="A247" t="str">
        <v>Adelgade 40A, 2., 5400 Bogense</v>
      </c>
      <c r="B247">
        <v>5442984</v>
      </c>
    </row>
    <row r="248" spans="1:2" x14ac:dyDescent="0.25">
      <c r="A248" t="str">
        <v>Adelgade 40A, kl., 5400 Bogense</v>
      </c>
      <c r="B248">
        <v>5442984</v>
      </c>
    </row>
    <row r="249" spans="1:2" x14ac:dyDescent="0.25">
      <c r="A249" t="str">
        <v>Adelgade 40A, st., 5400 Bogense</v>
      </c>
      <c r="B249">
        <v>5442984</v>
      </c>
    </row>
    <row r="250" spans="1:2" x14ac:dyDescent="0.25">
      <c r="A250" t="str">
        <v>Adelgade 40B, 5400 Bogense</v>
      </c>
      <c r="B250">
        <v>5442984</v>
      </c>
    </row>
    <row r="251" spans="1:2" x14ac:dyDescent="0.25">
      <c r="A251" t="str">
        <v>Adelgade 40C, 5400 Bogense</v>
      </c>
      <c r="B251">
        <v>5442984</v>
      </c>
    </row>
    <row r="252" spans="1:2" x14ac:dyDescent="0.25">
      <c r="A252" t="str">
        <v>Adelgade 40D, 5400 Bogense</v>
      </c>
      <c r="B252">
        <v>5442984</v>
      </c>
    </row>
    <row r="253" spans="1:2" x14ac:dyDescent="0.25">
      <c r="A253" t="str">
        <v>Adelgade 40E, 5400 Bogense</v>
      </c>
      <c r="B253">
        <v>5442984</v>
      </c>
    </row>
    <row r="254" spans="1:2" x14ac:dyDescent="0.25">
      <c r="A254" t="str">
        <v>Vestergade 9, 5400 Bogense</v>
      </c>
      <c r="B254">
        <v>5442985</v>
      </c>
    </row>
    <row r="255" spans="1:2" x14ac:dyDescent="0.25">
      <c r="A255" t="str">
        <v>Adelgade 42, 5400 Bogense</v>
      </c>
      <c r="B255">
        <v>5442986</v>
      </c>
    </row>
    <row r="256" spans="1:2" x14ac:dyDescent="0.25">
      <c r="A256" t="str">
        <v>Adelgade 42, 1., 5400 Bogense</v>
      </c>
      <c r="B256">
        <v>5442986</v>
      </c>
    </row>
    <row r="257" spans="1:2" x14ac:dyDescent="0.25">
      <c r="A257" t="str">
        <v>Adelgade 42, 2., 5400 Bogense</v>
      </c>
      <c r="B257">
        <v>5442986</v>
      </c>
    </row>
    <row r="258" spans="1:2" x14ac:dyDescent="0.25">
      <c r="A258" t="str">
        <v>Adelgade 42, st., 5400 Bogense</v>
      </c>
      <c r="B258">
        <v>5442986</v>
      </c>
    </row>
    <row r="259" spans="1:2" x14ac:dyDescent="0.25">
      <c r="A259" t="str">
        <v>Adelgade 42A, 5400 Bogense</v>
      </c>
      <c r="B259">
        <v>5442986</v>
      </c>
    </row>
    <row r="260" spans="1:2" x14ac:dyDescent="0.25">
      <c r="A260" t="str">
        <v>Adelgade 44, 5400 Bogense</v>
      </c>
      <c r="B260">
        <v>5442987</v>
      </c>
    </row>
    <row r="261" spans="1:2" x14ac:dyDescent="0.25">
      <c r="A261" t="str">
        <v>Adelgade 44A, 5400 Bogense</v>
      </c>
      <c r="B261">
        <v>5442987</v>
      </c>
    </row>
    <row r="262" spans="1:2" x14ac:dyDescent="0.25">
      <c r="A262" t="str">
        <v>Adelgade 44B, 5400 Bogense</v>
      </c>
      <c r="B262">
        <v>5442987</v>
      </c>
    </row>
    <row r="263" spans="1:2" x14ac:dyDescent="0.25">
      <c r="A263" t="str">
        <v>Adelgade 46, 1., 5400 Bogense</v>
      </c>
      <c r="B263">
        <v>5442988</v>
      </c>
    </row>
    <row r="264" spans="1:2" x14ac:dyDescent="0.25">
      <c r="A264" t="str">
        <v>Adelgade 46, st., 5400 Bogense</v>
      </c>
      <c r="B264">
        <v>5442988</v>
      </c>
    </row>
    <row r="265" spans="1:2" x14ac:dyDescent="0.25">
      <c r="A265" t="str">
        <v>Vestergade 11, 5400 Bogense</v>
      </c>
      <c r="B265">
        <v>5442989</v>
      </c>
    </row>
    <row r="266" spans="1:2" x14ac:dyDescent="0.25">
      <c r="A266" t="str">
        <v>Vestergade 11, 5400 Bogense</v>
      </c>
      <c r="B266">
        <v>5442989</v>
      </c>
    </row>
    <row r="267" spans="1:2" x14ac:dyDescent="0.25">
      <c r="A267" t="str">
        <v>Vestergade 11, 5400 Bogense</v>
      </c>
      <c r="B267">
        <v>5442989</v>
      </c>
    </row>
    <row r="268" spans="1:2" x14ac:dyDescent="0.25">
      <c r="A268" t="str">
        <v>Adelgade 48A, 5400 Bogense</v>
      </c>
      <c r="B268">
        <v>5442990</v>
      </c>
    </row>
    <row r="269" spans="1:2" x14ac:dyDescent="0.25">
      <c r="A269" t="str">
        <v>Adelgade 48A, 1., 5400 Bogense</v>
      </c>
      <c r="B269">
        <v>5442990</v>
      </c>
    </row>
    <row r="270" spans="1:2" x14ac:dyDescent="0.25">
      <c r="A270" t="str">
        <v>Adelgade 48A, 2., 5400 Bogense</v>
      </c>
      <c r="B270">
        <v>5442990</v>
      </c>
    </row>
    <row r="271" spans="1:2" x14ac:dyDescent="0.25">
      <c r="A271" t="str">
        <v>Adelgade 48B, st., 5400 Bogense</v>
      </c>
      <c r="B271">
        <v>5442990</v>
      </c>
    </row>
    <row r="272" spans="1:2" x14ac:dyDescent="0.25">
      <c r="A272" t="str">
        <v>Vestergade 13, 5400 Bogense</v>
      </c>
      <c r="B272">
        <v>5442992</v>
      </c>
    </row>
    <row r="273" spans="1:2" x14ac:dyDescent="0.25">
      <c r="A273" t="str">
        <v>Adelgade 50, 5400 Bogense</v>
      </c>
      <c r="B273">
        <v>5442995</v>
      </c>
    </row>
    <row r="274" spans="1:2" x14ac:dyDescent="0.25">
      <c r="A274" t="str">
        <v>Adelgade 50, 5400 Bogense</v>
      </c>
      <c r="B274">
        <v>5442995</v>
      </c>
    </row>
    <row r="275" spans="1:2" x14ac:dyDescent="0.25">
      <c r="A275" t="str">
        <v>Adelgade 50A, 5400 Bogense</v>
      </c>
      <c r="B275">
        <v>5442995</v>
      </c>
    </row>
    <row r="276" spans="1:2" x14ac:dyDescent="0.25">
      <c r="A276" t="str">
        <v>Adelgade 50B, 1., 5400 Bogense</v>
      </c>
      <c r="B276">
        <v>5442995</v>
      </c>
    </row>
    <row r="277" spans="1:2" x14ac:dyDescent="0.25">
      <c r="A277" t="str">
        <v>Adelgade 50B, st., 5400 Bogense</v>
      </c>
      <c r="B277">
        <v>5442995</v>
      </c>
    </row>
    <row r="278" spans="1:2" x14ac:dyDescent="0.25">
      <c r="A278" t="str">
        <v>Adelgade 50C, 1., 5400 Bogense</v>
      </c>
      <c r="B278">
        <v>5442995</v>
      </c>
    </row>
    <row r="279" spans="1:2" x14ac:dyDescent="0.25">
      <c r="A279" t="str">
        <v>Adelgade 50C, st., 5400 Bogense</v>
      </c>
      <c r="B279">
        <v>5442995</v>
      </c>
    </row>
    <row r="280" spans="1:2" x14ac:dyDescent="0.25">
      <c r="A280" t="str">
        <v>Adelgade 50D, 5400 Bogense</v>
      </c>
      <c r="B280">
        <v>5442995</v>
      </c>
    </row>
    <row r="281" spans="1:2" x14ac:dyDescent="0.25">
      <c r="A281" t="str">
        <v>Adelgade 50E, st., 5400 Bogense</v>
      </c>
      <c r="B281">
        <v>5442995</v>
      </c>
    </row>
    <row r="282" spans="1:2" x14ac:dyDescent="0.25">
      <c r="A282" t="str">
        <v>Vestergade 15, 5400 Bogense</v>
      </c>
      <c r="B282">
        <v>5442996</v>
      </c>
    </row>
    <row r="283" spans="1:2" x14ac:dyDescent="0.25">
      <c r="A283" t="str">
        <v>Vestergade 15, 5400 Bogense</v>
      </c>
      <c r="B283">
        <v>5442996</v>
      </c>
    </row>
    <row r="284" spans="1:2" x14ac:dyDescent="0.25">
      <c r="A284" t="str">
        <v>Vestergade 15, 5400 Bogense</v>
      </c>
      <c r="B284">
        <v>5442996</v>
      </c>
    </row>
    <row r="285" spans="1:2" x14ac:dyDescent="0.25">
      <c r="A285" t="str">
        <v>Adelgade 52A, 5400 Bogense</v>
      </c>
      <c r="B285">
        <v>5442998</v>
      </c>
    </row>
    <row r="286" spans="1:2" x14ac:dyDescent="0.25">
      <c r="A286" t="str">
        <v>Adelgade 52A, 1., 5400 Bogense</v>
      </c>
      <c r="B286">
        <v>5442998</v>
      </c>
    </row>
    <row r="287" spans="1:2" x14ac:dyDescent="0.25">
      <c r="A287" t="str">
        <v>Adelgade 52A, st., 5400 Bogense</v>
      </c>
      <c r="B287">
        <v>5442998</v>
      </c>
    </row>
    <row r="288" spans="1:2" x14ac:dyDescent="0.25">
      <c r="A288" t="str">
        <v>Adelgade 54, 5400 Bogense</v>
      </c>
      <c r="B288">
        <v>5443000</v>
      </c>
    </row>
    <row r="289" spans="1:2" x14ac:dyDescent="0.25">
      <c r="A289">
        <v>0</v>
      </c>
      <c r="B289">
        <v>5443001</v>
      </c>
    </row>
    <row r="290" spans="1:2" x14ac:dyDescent="0.25">
      <c r="A290" t="str">
        <v>Vestergade 21, 5400 Bogense</v>
      </c>
      <c r="B290">
        <v>5443002</v>
      </c>
    </row>
    <row r="291" spans="1:2" x14ac:dyDescent="0.25">
      <c r="A291" t="str">
        <v>Adelgade 56A, 5400 Bogense</v>
      </c>
      <c r="B291">
        <v>5443003</v>
      </c>
    </row>
    <row r="292" spans="1:2" x14ac:dyDescent="0.25">
      <c r="A292" t="str">
        <v>Adelgade 56A, st., 5400 Bogense</v>
      </c>
      <c r="B292">
        <v>5443003</v>
      </c>
    </row>
    <row r="293" spans="1:2" x14ac:dyDescent="0.25">
      <c r="A293" t="str">
        <v>Adelgade 56A, st., 5400 Bogense</v>
      </c>
      <c r="B293">
        <v>5443003</v>
      </c>
    </row>
    <row r="294" spans="1:2" x14ac:dyDescent="0.25">
      <c r="A294" t="str">
        <v>Adelgade 56B, st., 5400 Bogense</v>
      </c>
      <c r="B294">
        <v>5443003</v>
      </c>
    </row>
    <row r="295" spans="1:2" x14ac:dyDescent="0.25">
      <c r="A295" t="str">
        <v>Adelgade 56C, st., 5400 Bogense</v>
      </c>
      <c r="B295">
        <v>5443003</v>
      </c>
    </row>
    <row r="296" spans="1:2" x14ac:dyDescent="0.25">
      <c r="A296">
        <v>0</v>
      </c>
      <c r="B296">
        <v>5443004</v>
      </c>
    </row>
    <row r="297" spans="1:2" x14ac:dyDescent="0.25">
      <c r="A297" t="str">
        <v>Enggade 14, 5400 Bogense</v>
      </c>
      <c r="B297">
        <v>5443006</v>
      </c>
    </row>
    <row r="298" spans="1:2" x14ac:dyDescent="0.25">
      <c r="A298" t="str">
        <v>Enggade 14, 5400 Bogense</v>
      </c>
      <c r="B298">
        <v>5443006</v>
      </c>
    </row>
    <row r="299" spans="1:2" x14ac:dyDescent="0.25">
      <c r="A299" t="str">
        <v>Enggade 16, 5400 Bogense</v>
      </c>
      <c r="B299">
        <v>5443006</v>
      </c>
    </row>
    <row r="300" spans="1:2" x14ac:dyDescent="0.25">
      <c r="A300" t="str">
        <v>Enggade 18, 5400 Bogense</v>
      </c>
      <c r="B300">
        <v>5443006</v>
      </c>
    </row>
    <row r="301" spans="1:2" x14ac:dyDescent="0.25">
      <c r="A301" t="str">
        <v>Enggade 20, 5400 Bogense</v>
      </c>
      <c r="B301">
        <v>5443006</v>
      </c>
    </row>
    <row r="302" spans="1:2" x14ac:dyDescent="0.25">
      <c r="A302" t="str">
        <v>Enggade 22, 5400 Bogense</v>
      </c>
      <c r="B302">
        <v>5443006</v>
      </c>
    </row>
    <row r="303" spans="1:2" x14ac:dyDescent="0.25">
      <c r="A303" t="str">
        <v>Enggade 24, 5400 Bogense</v>
      </c>
      <c r="B303">
        <v>5443006</v>
      </c>
    </row>
    <row r="304" spans="1:2" x14ac:dyDescent="0.25">
      <c r="A304" t="str">
        <v>Enggade 26, 5400 Bogense</v>
      </c>
      <c r="B304">
        <v>5443006</v>
      </c>
    </row>
    <row r="305" spans="1:2" x14ac:dyDescent="0.25">
      <c r="A305" t="str">
        <v>Enggade 28, 5400 Bogense</v>
      </c>
      <c r="B305">
        <v>5443006</v>
      </c>
    </row>
    <row r="306" spans="1:2" x14ac:dyDescent="0.25">
      <c r="A306" t="str">
        <v>Enggade 30, 5400 Bogense</v>
      </c>
      <c r="B306">
        <v>5443006</v>
      </c>
    </row>
    <row r="307" spans="1:2" x14ac:dyDescent="0.25">
      <c r="A307" t="str">
        <v>Enggade 32, 1. th, 5400 Bogense</v>
      </c>
      <c r="B307">
        <v>5443006</v>
      </c>
    </row>
    <row r="308" spans="1:2" x14ac:dyDescent="0.25">
      <c r="A308" t="str">
        <v>Enggade 32, 1. tv, 5400 Bogense</v>
      </c>
      <c r="B308">
        <v>5443006</v>
      </c>
    </row>
    <row r="309" spans="1:2" x14ac:dyDescent="0.25">
      <c r="A309" t="str">
        <v>Enggade 17, 5400 Bogense</v>
      </c>
      <c r="B309">
        <v>5443009</v>
      </c>
    </row>
    <row r="310" spans="1:2" x14ac:dyDescent="0.25">
      <c r="A310" t="str">
        <v>Enggade 19, 5400 Bogense</v>
      </c>
      <c r="B310">
        <v>5443012</v>
      </c>
    </row>
    <row r="311" spans="1:2" x14ac:dyDescent="0.25">
      <c r="A311" t="str">
        <v>Adelgade 56, 5400 Bogense</v>
      </c>
      <c r="B311">
        <v>5443013</v>
      </c>
    </row>
    <row r="312" spans="1:2" x14ac:dyDescent="0.25">
      <c r="A312" t="str">
        <v>Adelgade 56, 5400 Bogense</v>
      </c>
      <c r="B312">
        <v>5443013</v>
      </c>
    </row>
    <row r="313" spans="1:2" x14ac:dyDescent="0.25">
      <c r="A313" t="str">
        <v>Adelgade 56, 5400 Bogense</v>
      </c>
      <c r="B313">
        <v>5443013</v>
      </c>
    </row>
    <row r="314" spans="1:2" x14ac:dyDescent="0.25">
      <c r="A314" t="str">
        <v>Adelgade 56F, 5400 Bogense</v>
      </c>
      <c r="B314">
        <v>5443013</v>
      </c>
    </row>
    <row r="315" spans="1:2" x14ac:dyDescent="0.25">
      <c r="A315" t="str">
        <v>Enggade 15, 5400 Bogense</v>
      </c>
      <c r="B315">
        <v>5443014</v>
      </c>
    </row>
    <row r="316" spans="1:2" x14ac:dyDescent="0.25">
      <c r="A316" t="str">
        <v>Hotelpassagen 3, 5400 Bogense</v>
      </c>
      <c r="B316">
        <v>5443019</v>
      </c>
    </row>
    <row r="317" spans="1:2" x14ac:dyDescent="0.25">
      <c r="A317" t="str">
        <v>Hotelpassagen 3, 1., 5400 Bogense</v>
      </c>
      <c r="B317">
        <v>5443019</v>
      </c>
    </row>
    <row r="318" spans="1:2" x14ac:dyDescent="0.25">
      <c r="A318" t="str">
        <v>Hotelpassagen 3, 2., 5400 Bogense</v>
      </c>
      <c r="B318">
        <v>5443019</v>
      </c>
    </row>
    <row r="319" spans="1:2" x14ac:dyDescent="0.25">
      <c r="A319" t="str">
        <v>Hotelpassagen 3, st., 5400 Bogense</v>
      </c>
      <c r="B319">
        <v>5443019</v>
      </c>
    </row>
    <row r="320" spans="1:2" x14ac:dyDescent="0.25">
      <c r="A320" t="str">
        <v>Hotelpassagen 5, 5400 Bogense</v>
      </c>
      <c r="B320">
        <v>5443019</v>
      </c>
    </row>
    <row r="321" spans="1:2" x14ac:dyDescent="0.25">
      <c r="A321" t="str">
        <v>Hotelpassagen 11, 5400 Bogense</v>
      </c>
      <c r="B321">
        <v>5443020</v>
      </c>
    </row>
    <row r="322" spans="1:2" x14ac:dyDescent="0.25">
      <c r="A322" t="str">
        <v>Adelgade 58, 5400 Bogense</v>
      </c>
      <c r="B322">
        <v>5443021</v>
      </c>
    </row>
    <row r="323" spans="1:2" x14ac:dyDescent="0.25">
      <c r="A323" t="str">
        <v>Adelgade 58, 2., 5400 Bogense</v>
      </c>
      <c r="B323">
        <v>5443021</v>
      </c>
    </row>
    <row r="324" spans="1:2" x14ac:dyDescent="0.25">
      <c r="A324" t="str">
        <v>Adelgade 58, 5400 Bogense</v>
      </c>
      <c r="B324">
        <v>5443021</v>
      </c>
    </row>
    <row r="325" spans="1:2" x14ac:dyDescent="0.25">
      <c r="A325" t="str">
        <v>Adelgade 58, 5400 Bogense</v>
      </c>
      <c r="B325">
        <v>5443021</v>
      </c>
    </row>
    <row r="326" spans="1:2" x14ac:dyDescent="0.25">
      <c r="A326" t="str">
        <v>Adelgade 58, 5400 Bogense</v>
      </c>
      <c r="B326">
        <v>5443021</v>
      </c>
    </row>
    <row r="327" spans="1:2" x14ac:dyDescent="0.25">
      <c r="A327" t="str">
        <v>Adelgade 58, st. th, 5400 Bogense</v>
      </c>
      <c r="B327">
        <v>5443021</v>
      </c>
    </row>
    <row r="328" spans="1:2" x14ac:dyDescent="0.25">
      <c r="A328" t="str">
        <v>Adelgade 58, st. tv, 5400 Bogense</v>
      </c>
      <c r="B328">
        <v>5443021</v>
      </c>
    </row>
    <row r="329" spans="1:2" x14ac:dyDescent="0.25">
      <c r="A329" t="str">
        <v>Adelgade 60, 5400 Bogense</v>
      </c>
      <c r="B329">
        <v>5443022</v>
      </c>
    </row>
    <row r="330" spans="1:2" x14ac:dyDescent="0.25">
      <c r="A330" t="str">
        <v>Adelgade 60, 1., 5400 Bogense</v>
      </c>
      <c r="B330">
        <v>5443022</v>
      </c>
    </row>
    <row r="331" spans="1:2" x14ac:dyDescent="0.25">
      <c r="A331" t="str">
        <v>Adelgade 60, st., 5400 Bogense</v>
      </c>
      <c r="B331">
        <v>5443022</v>
      </c>
    </row>
    <row r="332" spans="1:2" x14ac:dyDescent="0.25">
      <c r="A332" t="str">
        <v>Adelgade 62, 5400 Bogense</v>
      </c>
      <c r="B332">
        <v>5443023</v>
      </c>
    </row>
    <row r="333" spans="1:2" x14ac:dyDescent="0.25">
      <c r="A333" t="str">
        <v>Adelgade 62, 1., 5400 Bogense</v>
      </c>
      <c r="B333">
        <v>5443023</v>
      </c>
    </row>
    <row r="334" spans="1:2" x14ac:dyDescent="0.25">
      <c r="A334" t="str">
        <v>Adelgade 62, 5400 Bogense</v>
      </c>
      <c r="B334">
        <v>5443023</v>
      </c>
    </row>
    <row r="335" spans="1:2" x14ac:dyDescent="0.25">
      <c r="A335" t="str">
        <v>Adelgade 62, 5400 Bogense</v>
      </c>
      <c r="B335">
        <v>5443023</v>
      </c>
    </row>
    <row r="336" spans="1:2" x14ac:dyDescent="0.25">
      <c r="A336" t="str">
        <v>Adelgade 64, 5400 Bogense</v>
      </c>
      <c r="B336">
        <v>5443024</v>
      </c>
    </row>
    <row r="337" spans="1:2" x14ac:dyDescent="0.25">
      <c r="A337" t="str">
        <v>Adelgade 64, 1., 5400 Bogense</v>
      </c>
      <c r="B337">
        <v>5443024</v>
      </c>
    </row>
    <row r="338" spans="1:2" x14ac:dyDescent="0.25">
      <c r="A338" t="str">
        <v>Adelgade 64, st., 5400 Bogense</v>
      </c>
      <c r="B338">
        <v>5443024</v>
      </c>
    </row>
    <row r="339" spans="1:2" x14ac:dyDescent="0.25">
      <c r="A339" t="str">
        <v>Adelgade 64, st., 5400 Bogense</v>
      </c>
      <c r="B339">
        <v>5443024</v>
      </c>
    </row>
    <row r="340" spans="1:2" x14ac:dyDescent="0.25">
      <c r="A340" t="str">
        <v>Adelgade 64, st., 5400 Bogense</v>
      </c>
      <c r="B340">
        <v>5443024</v>
      </c>
    </row>
    <row r="341" spans="1:2" x14ac:dyDescent="0.25">
      <c r="A341" t="str">
        <v>Adelgade 66A, 5400 Bogense</v>
      </c>
      <c r="B341">
        <v>5443026</v>
      </c>
    </row>
    <row r="342" spans="1:2" x14ac:dyDescent="0.25">
      <c r="A342" t="str">
        <v>Adelgade 66A, 1., 5400 Bogense</v>
      </c>
      <c r="B342">
        <v>5443026</v>
      </c>
    </row>
    <row r="343" spans="1:2" x14ac:dyDescent="0.25">
      <c r="A343" t="str">
        <v>Adelgade 66A, 2., 5400 Bogense</v>
      </c>
      <c r="B343">
        <v>5443026</v>
      </c>
    </row>
    <row r="344" spans="1:2" x14ac:dyDescent="0.25">
      <c r="A344" t="str">
        <v>Adelgade 66A, 3., 5400 Bogense</v>
      </c>
      <c r="B344">
        <v>5443026</v>
      </c>
    </row>
    <row r="345" spans="1:2" x14ac:dyDescent="0.25">
      <c r="A345" t="str">
        <v>Adelgade 66A, st., 5400 Bogense</v>
      </c>
      <c r="B345">
        <v>5443026</v>
      </c>
    </row>
    <row r="346" spans="1:2" x14ac:dyDescent="0.25">
      <c r="A346" t="str">
        <v>Adelgade 66B, 1., 5400 Bogense</v>
      </c>
      <c r="B346">
        <v>5443026</v>
      </c>
    </row>
    <row r="347" spans="1:2" x14ac:dyDescent="0.25">
      <c r="A347" t="str">
        <v>Adelgade 66B, st., 5400 Bogense</v>
      </c>
      <c r="B347">
        <v>5443026</v>
      </c>
    </row>
    <row r="348" spans="1:2" x14ac:dyDescent="0.25">
      <c r="A348" t="str">
        <v>Adelgade 68, 5400 Bogense</v>
      </c>
      <c r="B348">
        <v>5443028</v>
      </c>
    </row>
    <row r="349" spans="1:2" x14ac:dyDescent="0.25">
      <c r="A349" t="str">
        <v>Adelgade 68, 1., 5400 Bogense</v>
      </c>
      <c r="B349">
        <v>5443028</v>
      </c>
    </row>
    <row r="350" spans="1:2" x14ac:dyDescent="0.25">
      <c r="A350" t="str">
        <v>Adelgade 68, st., 5400 Bogense</v>
      </c>
      <c r="B350">
        <v>5443028</v>
      </c>
    </row>
    <row r="351" spans="1:2" x14ac:dyDescent="0.25">
      <c r="A351" t="str">
        <v>Adelgade 70A, 5400 Bogense</v>
      </c>
      <c r="B351">
        <v>5443030</v>
      </c>
    </row>
    <row r="352" spans="1:2" x14ac:dyDescent="0.25">
      <c r="A352" t="str">
        <v>Adelgade 70A, 5400 Bogense</v>
      </c>
      <c r="B352">
        <v>5443030</v>
      </c>
    </row>
    <row r="353" spans="1:2" x14ac:dyDescent="0.25">
      <c r="A353" t="str">
        <v>Adelgade 70B, 1., 5400 Bogense</v>
      </c>
      <c r="B353">
        <v>5443030</v>
      </c>
    </row>
    <row r="354" spans="1:2" x14ac:dyDescent="0.25">
      <c r="A354" t="str">
        <v>Adelgade 70B, 2. th, 5400 Bogense</v>
      </c>
      <c r="B354">
        <v>5443030</v>
      </c>
    </row>
    <row r="355" spans="1:2" x14ac:dyDescent="0.25">
      <c r="A355" t="str">
        <v>Adelgade 70B, 2. tv, 5400 Bogense</v>
      </c>
      <c r="B355">
        <v>5443030</v>
      </c>
    </row>
    <row r="356" spans="1:2" x14ac:dyDescent="0.25">
      <c r="A356" t="str">
        <v>Adelgade 70B, th, 5400 Bogense</v>
      </c>
      <c r="B356">
        <v>5443030</v>
      </c>
    </row>
    <row r="357" spans="1:2" x14ac:dyDescent="0.25">
      <c r="A357" t="str">
        <v>Adelgade 72, 5400 Bogense</v>
      </c>
      <c r="B357">
        <v>5443030</v>
      </c>
    </row>
    <row r="358" spans="1:2" x14ac:dyDescent="0.25">
      <c r="A358">
        <v>0</v>
      </c>
      <c r="B358">
        <v>5443036</v>
      </c>
    </row>
    <row r="359" spans="1:2" x14ac:dyDescent="0.25">
      <c r="A359">
        <v>0</v>
      </c>
      <c r="B359">
        <v>5443038</v>
      </c>
    </row>
    <row r="360" spans="1:2" x14ac:dyDescent="0.25">
      <c r="A360" t="str">
        <v>Adelgade 82, 5400 Bogense</v>
      </c>
      <c r="B360">
        <v>5443039</v>
      </c>
    </row>
    <row r="361" spans="1:2" x14ac:dyDescent="0.25">
      <c r="A361" t="str">
        <v>Adelgade 82, 1., 5400 Bogense</v>
      </c>
      <c r="B361">
        <v>5443039</v>
      </c>
    </row>
    <row r="362" spans="1:2" x14ac:dyDescent="0.25">
      <c r="A362" t="str">
        <v>Adelgade 82, st., 5400 Bogense</v>
      </c>
      <c r="B362">
        <v>5443039</v>
      </c>
    </row>
    <row r="363" spans="1:2" x14ac:dyDescent="0.25">
      <c r="A363" t="str">
        <v>Adelgade 80A, 5400 Bogense</v>
      </c>
      <c r="B363">
        <v>5443041</v>
      </c>
    </row>
    <row r="364" spans="1:2" x14ac:dyDescent="0.25">
      <c r="A364" t="str">
        <v>Adelgade 80A, 5400 Bogense</v>
      </c>
      <c r="B364">
        <v>5443041</v>
      </c>
    </row>
    <row r="365" spans="1:2" x14ac:dyDescent="0.25">
      <c r="A365" t="str">
        <v>Adelgade 80B, 1., 5400 Bogense</v>
      </c>
      <c r="B365">
        <v>5443041</v>
      </c>
    </row>
    <row r="366" spans="1:2" x14ac:dyDescent="0.25">
      <c r="A366" t="str">
        <v>Adelgade 80C, 2., 5400 Bogense</v>
      </c>
      <c r="B366">
        <v>5443041</v>
      </c>
    </row>
    <row r="367" spans="1:2" x14ac:dyDescent="0.25">
      <c r="A367" t="str">
        <v>Adelgade 80D, 1., 5400 Bogense</v>
      </c>
      <c r="B367">
        <v>5443041</v>
      </c>
    </row>
    <row r="368" spans="1:2" x14ac:dyDescent="0.25">
      <c r="A368" t="str">
        <v>Adelgade 84, 5400 Bogense</v>
      </c>
      <c r="B368">
        <v>5443042</v>
      </c>
    </row>
    <row r="369" spans="1:2" x14ac:dyDescent="0.25">
      <c r="A369" t="str">
        <v>Adelgade 84, 1., 5400 Bogense</v>
      </c>
      <c r="B369">
        <v>5443042</v>
      </c>
    </row>
    <row r="370" spans="1:2" x14ac:dyDescent="0.25">
      <c r="A370" t="str">
        <v>Adelgade 84, st., 5400 Bogense</v>
      </c>
      <c r="B370">
        <v>5443042</v>
      </c>
    </row>
    <row r="371" spans="1:2" x14ac:dyDescent="0.25">
      <c r="A371">
        <v>0</v>
      </c>
      <c r="B371">
        <v>5443043</v>
      </c>
    </row>
    <row r="372" spans="1:2" x14ac:dyDescent="0.25">
      <c r="A372">
        <v>0</v>
      </c>
      <c r="B372">
        <v>5443044</v>
      </c>
    </row>
    <row r="373" spans="1:2" x14ac:dyDescent="0.25">
      <c r="A373" t="str">
        <v>Adelgade 86A, 5400 Bogense</v>
      </c>
      <c r="B373">
        <v>5443045</v>
      </c>
    </row>
    <row r="374" spans="1:2" x14ac:dyDescent="0.25">
      <c r="A374" t="str">
        <v>Adelgade 86A, 5400 Bogense</v>
      </c>
      <c r="B374">
        <v>5443045</v>
      </c>
    </row>
    <row r="375" spans="1:2" x14ac:dyDescent="0.25">
      <c r="A375" t="str">
        <v>Adelgade 86B, 1., 5400 Bogense</v>
      </c>
      <c r="B375">
        <v>5443045</v>
      </c>
    </row>
    <row r="376" spans="1:2" x14ac:dyDescent="0.25">
      <c r="A376" t="str">
        <v>Adelgade 86B, 2., 5400 Bogense</v>
      </c>
      <c r="B376">
        <v>5443045</v>
      </c>
    </row>
    <row r="377" spans="1:2" x14ac:dyDescent="0.25">
      <c r="A377" t="str">
        <v>Adelgade 88, 5400 Bogense</v>
      </c>
      <c r="B377">
        <v>5443046</v>
      </c>
    </row>
    <row r="378" spans="1:2" x14ac:dyDescent="0.25">
      <c r="A378" t="str">
        <v>Adelgade 88, 1., 5400 Bogense</v>
      </c>
      <c r="B378">
        <v>5443046</v>
      </c>
    </row>
    <row r="379" spans="1:2" x14ac:dyDescent="0.25">
      <c r="A379" t="str">
        <v>Adelgade 88, 5400 Bogense</v>
      </c>
      <c r="B379">
        <v>5443046</v>
      </c>
    </row>
    <row r="380" spans="1:2" x14ac:dyDescent="0.25">
      <c r="A380" t="str">
        <v>Adelgade 90, 5400 Bogense</v>
      </c>
      <c r="B380">
        <v>5443047</v>
      </c>
    </row>
    <row r="381" spans="1:2" x14ac:dyDescent="0.25">
      <c r="A381" t="str">
        <v>Adelgade 90, 1., 5400 Bogense</v>
      </c>
      <c r="B381">
        <v>5443047</v>
      </c>
    </row>
    <row r="382" spans="1:2" x14ac:dyDescent="0.25">
      <c r="A382" t="str">
        <v>Adelgade 90, 2., 5400 Bogense</v>
      </c>
      <c r="B382">
        <v>5443047</v>
      </c>
    </row>
    <row r="383" spans="1:2" x14ac:dyDescent="0.25">
      <c r="A383" t="str">
        <v>Adelgade 90, 5400 Bogense</v>
      </c>
      <c r="B383">
        <v>5443047</v>
      </c>
    </row>
    <row r="384" spans="1:2" x14ac:dyDescent="0.25">
      <c r="A384" t="str">
        <v>Adelgade 90, 5400 Bogense</v>
      </c>
      <c r="B384">
        <v>5443047</v>
      </c>
    </row>
    <row r="385" spans="1:2" x14ac:dyDescent="0.25">
      <c r="A385" t="str">
        <v>Adelgade 90, st., 5400 Bogense</v>
      </c>
      <c r="B385">
        <v>5443047</v>
      </c>
    </row>
    <row r="386" spans="1:2" x14ac:dyDescent="0.25">
      <c r="A386" t="str">
        <v>Adelgade 92A, 5400 Bogense</v>
      </c>
      <c r="B386">
        <v>5443048</v>
      </c>
    </row>
    <row r="387" spans="1:2" x14ac:dyDescent="0.25">
      <c r="A387" t="str">
        <v>Adelgade 92A, 5400 Bogense</v>
      </c>
      <c r="B387">
        <v>5443048</v>
      </c>
    </row>
    <row r="388" spans="1:2" x14ac:dyDescent="0.25">
      <c r="A388" t="str">
        <v>Adelgade 92B, 5400 Bogense</v>
      </c>
      <c r="B388">
        <v>5443048</v>
      </c>
    </row>
    <row r="389" spans="1:2" x14ac:dyDescent="0.25">
      <c r="A389" t="str">
        <v>Adelgade 92C, 5400 Bogense</v>
      </c>
      <c r="B389">
        <v>5443048</v>
      </c>
    </row>
    <row r="390" spans="1:2" x14ac:dyDescent="0.25">
      <c r="A390" t="str">
        <v>Vestergade 38A, 5400 Bogense</v>
      </c>
      <c r="B390">
        <v>5443049</v>
      </c>
    </row>
    <row r="391" spans="1:2" x14ac:dyDescent="0.25">
      <c r="A391" t="str">
        <v>Vestergade 38A, 5400 Bogense</v>
      </c>
      <c r="B391">
        <v>5443049</v>
      </c>
    </row>
    <row r="392" spans="1:2" x14ac:dyDescent="0.25">
      <c r="A392" t="str">
        <v>Vestergade 38B, 5400 Bogense</v>
      </c>
      <c r="B392">
        <v>5443049</v>
      </c>
    </row>
    <row r="393" spans="1:2" x14ac:dyDescent="0.25">
      <c r="A393" t="str">
        <v>Adelgade 94A, 5400 Bogense</v>
      </c>
      <c r="B393">
        <v>5443050</v>
      </c>
    </row>
    <row r="394" spans="1:2" x14ac:dyDescent="0.25">
      <c r="A394" t="str">
        <v>Adelgade 94A, 5400 Bogense</v>
      </c>
      <c r="B394">
        <v>5443050</v>
      </c>
    </row>
    <row r="395" spans="1:2" x14ac:dyDescent="0.25">
      <c r="A395" t="str">
        <v>Adelgade 94B, 5400 Bogense</v>
      </c>
      <c r="B395">
        <v>5443050</v>
      </c>
    </row>
    <row r="396" spans="1:2" x14ac:dyDescent="0.25">
      <c r="A396" t="str">
        <v>Adelgade 96, 5400 Bogense</v>
      </c>
      <c r="B396">
        <v>5443051</v>
      </c>
    </row>
    <row r="397" spans="1:2" x14ac:dyDescent="0.25">
      <c r="A397" t="str">
        <v>Vestergade 41, 5400 Bogense</v>
      </c>
      <c r="B397">
        <v>5443052</v>
      </c>
    </row>
    <row r="398" spans="1:2" x14ac:dyDescent="0.25">
      <c r="A398">
        <v>0</v>
      </c>
      <c r="B398">
        <v>5443053</v>
      </c>
    </row>
    <row r="399" spans="1:2" x14ac:dyDescent="0.25">
      <c r="A399">
        <v>0</v>
      </c>
      <c r="B399">
        <v>5443054</v>
      </c>
    </row>
    <row r="400" spans="1:2" x14ac:dyDescent="0.25">
      <c r="A400">
        <v>0</v>
      </c>
      <c r="B400">
        <v>5443055</v>
      </c>
    </row>
    <row r="401" spans="1:2" x14ac:dyDescent="0.25">
      <c r="A401" t="str">
        <v>Adelgade 98, 5400 Bogense</v>
      </c>
      <c r="B401">
        <v>5443056</v>
      </c>
    </row>
    <row r="402" spans="1:2" x14ac:dyDescent="0.25">
      <c r="A402" t="str">
        <v>Adelgade 116, 5400 Bogense</v>
      </c>
      <c r="B402">
        <v>5443059</v>
      </c>
    </row>
    <row r="403" spans="1:2" x14ac:dyDescent="0.25">
      <c r="A403" t="str">
        <v>Adelgade 114, 5400 Bogense</v>
      </c>
      <c r="B403">
        <v>5443060</v>
      </c>
    </row>
    <row r="404" spans="1:2" x14ac:dyDescent="0.25">
      <c r="A404" t="str">
        <v>Adelgade 114, 1., 5400 Bogense</v>
      </c>
      <c r="B404">
        <v>5443060</v>
      </c>
    </row>
    <row r="405" spans="1:2" x14ac:dyDescent="0.25">
      <c r="A405" t="str">
        <v>Adelgade 114, 5400 Bogense</v>
      </c>
      <c r="B405">
        <v>5443060</v>
      </c>
    </row>
    <row r="406" spans="1:2" x14ac:dyDescent="0.25">
      <c r="A406" t="str">
        <v>Adelgade 114, st., 5400 Bogense</v>
      </c>
      <c r="B406">
        <v>5443060</v>
      </c>
    </row>
    <row r="407" spans="1:2" x14ac:dyDescent="0.25">
      <c r="A407">
        <v>0</v>
      </c>
      <c r="B407">
        <v>5443067</v>
      </c>
    </row>
    <row r="408" spans="1:2" x14ac:dyDescent="0.25">
      <c r="A408" t="str">
        <v>Adelgade 108, 5400 Bogense</v>
      </c>
      <c r="B408">
        <v>5443073</v>
      </c>
    </row>
    <row r="409" spans="1:2" x14ac:dyDescent="0.25">
      <c r="A409" t="str">
        <v>Vandværksvej 29, 5400 Bogense</v>
      </c>
      <c r="B409">
        <v>5443074</v>
      </c>
    </row>
    <row r="410" spans="1:2" x14ac:dyDescent="0.25">
      <c r="A410" t="str">
        <v>Adelgade 106, 5400 Bogense</v>
      </c>
      <c r="B410">
        <v>5443076</v>
      </c>
    </row>
    <row r="411" spans="1:2" x14ac:dyDescent="0.25">
      <c r="A411" t="str">
        <v>Adelgade 106, 1., 5400 Bogense</v>
      </c>
      <c r="B411">
        <v>5443076</v>
      </c>
    </row>
    <row r="412" spans="1:2" x14ac:dyDescent="0.25">
      <c r="A412" t="str">
        <v>Adelgade 106, st., 5400 Bogense</v>
      </c>
      <c r="B412">
        <v>5443076</v>
      </c>
    </row>
    <row r="413" spans="1:2" x14ac:dyDescent="0.25">
      <c r="A413" t="str">
        <v>Adelgade 104, 5400 Bogense</v>
      </c>
      <c r="B413">
        <v>5443078</v>
      </c>
    </row>
    <row r="414" spans="1:2" x14ac:dyDescent="0.25">
      <c r="A414" t="str">
        <v>Adelgade 104, 5400 Bogense</v>
      </c>
      <c r="B414">
        <v>5443078</v>
      </c>
    </row>
    <row r="415" spans="1:2" x14ac:dyDescent="0.25">
      <c r="A415" t="str">
        <v>Adelgade 104, 5400 Bogense</v>
      </c>
      <c r="B415">
        <v>5443078</v>
      </c>
    </row>
    <row r="416" spans="1:2" x14ac:dyDescent="0.25">
      <c r="A416" t="str">
        <v>Adelgade 104, 5400 Bogense</v>
      </c>
      <c r="B416">
        <v>5443078</v>
      </c>
    </row>
    <row r="417" spans="1:2" x14ac:dyDescent="0.25">
      <c r="A417" t="str">
        <v>Adelgade 104, 5400 Bogense</v>
      </c>
      <c r="B417">
        <v>5443078</v>
      </c>
    </row>
    <row r="418" spans="1:2" x14ac:dyDescent="0.25">
      <c r="A418" t="str">
        <v>Adelgade 104, 5400 Bogense</v>
      </c>
      <c r="B418">
        <v>5443078</v>
      </c>
    </row>
    <row r="419" spans="1:2" x14ac:dyDescent="0.25">
      <c r="A419" t="str">
        <v>Vandværksvej 2, 5400 Bogense</v>
      </c>
      <c r="B419">
        <v>5443080</v>
      </c>
    </row>
    <row r="420" spans="1:2" x14ac:dyDescent="0.25">
      <c r="A420" t="str">
        <v>Vandværksvej 10, 5400 Bogense</v>
      </c>
      <c r="B420">
        <v>5443080</v>
      </c>
    </row>
    <row r="421" spans="1:2" x14ac:dyDescent="0.25">
      <c r="A421" t="str">
        <v>Vandværksvej 12, 5400 Bogense</v>
      </c>
      <c r="B421">
        <v>5443080</v>
      </c>
    </row>
    <row r="422" spans="1:2" x14ac:dyDescent="0.25">
      <c r="A422" t="str">
        <v>Vandværksvej 14, 5400 Bogense</v>
      </c>
      <c r="B422">
        <v>5443080</v>
      </c>
    </row>
    <row r="423" spans="1:2" x14ac:dyDescent="0.25">
      <c r="A423" t="str">
        <v>Vandværksvej 16, 5400 Bogense</v>
      </c>
      <c r="B423">
        <v>5443080</v>
      </c>
    </row>
    <row r="424" spans="1:2" x14ac:dyDescent="0.25">
      <c r="A424" t="str">
        <v>Vandværksvej 18, 5400 Bogense</v>
      </c>
      <c r="B424">
        <v>5443080</v>
      </c>
    </row>
    <row r="425" spans="1:2" x14ac:dyDescent="0.25">
      <c r="A425" t="str">
        <v>Vandværksvej 2, 5400 Bogense</v>
      </c>
      <c r="B425">
        <v>5443080</v>
      </c>
    </row>
    <row r="426" spans="1:2" x14ac:dyDescent="0.25">
      <c r="A426" t="str">
        <v>Vandværksvej 20, 5400 Bogense</v>
      </c>
      <c r="B426">
        <v>5443080</v>
      </c>
    </row>
    <row r="427" spans="1:2" x14ac:dyDescent="0.25">
      <c r="A427" t="str">
        <v>Vandværksvej 22, 5400 Bogense</v>
      </c>
      <c r="B427">
        <v>5443080</v>
      </c>
    </row>
    <row r="428" spans="1:2" x14ac:dyDescent="0.25">
      <c r="A428" t="str">
        <v>Vandværksvej 24, 5400 Bogense</v>
      </c>
      <c r="B428">
        <v>5443080</v>
      </c>
    </row>
    <row r="429" spans="1:2" x14ac:dyDescent="0.25">
      <c r="A429" t="str">
        <v>Vandværksvej 26, 5400 Bogense</v>
      </c>
      <c r="B429">
        <v>5443080</v>
      </c>
    </row>
    <row r="430" spans="1:2" x14ac:dyDescent="0.25">
      <c r="A430" t="str">
        <v>Vandværksvej 4, 5400 Bogense</v>
      </c>
      <c r="B430">
        <v>5443080</v>
      </c>
    </row>
    <row r="431" spans="1:2" x14ac:dyDescent="0.25">
      <c r="A431" t="str">
        <v>Vandværksvej 6, 5400 Bogense</v>
      </c>
      <c r="B431">
        <v>5443080</v>
      </c>
    </row>
    <row r="432" spans="1:2" x14ac:dyDescent="0.25">
      <c r="A432" t="str">
        <v>Vandværksvej 8, 5400 Bogense</v>
      </c>
      <c r="B432">
        <v>5443080</v>
      </c>
    </row>
    <row r="433" spans="1:2" x14ac:dyDescent="0.25">
      <c r="A433" t="str">
        <v>Adelgade 124, 5400 Bogense</v>
      </c>
      <c r="B433">
        <v>5443082</v>
      </c>
    </row>
    <row r="434" spans="1:2" x14ac:dyDescent="0.25">
      <c r="A434" t="str">
        <v>Adelgade 122, 5400 Bogense</v>
      </c>
      <c r="B434">
        <v>5443084</v>
      </c>
    </row>
    <row r="435" spans="1:2" x14ac:dyDescent="0.25">
      <c r="A435" t="str">
        <v>Adelgade 126, 5400 Bogense</v>
      </c>
      <c r="B435">
        <v>5443087</v>
      </c>
    </row>
    <row r="436" spans="1:2" x14ac:dyDescent="0.25">
      <c r="A436" t="str">
        <v>Adelgade 128, 5400 Bogense</v>
      </c>
      <c r="B436">
        <v>5443088</v>
      </c>
    </row>
    <row r="437" spans="1:2" x14ac:dyDescent="0.25">
      <c r="A437" t="str">
        <v>Adelgade 128, 1., 5400 Bogense</v>
      </c>
      <c r="B437">
        <v>5443088</v>
      </c>
    </row>
    <row r="438" spans="1:2" x14ac:dyDescent="0.25">
      <c r="A438" t="str">
        <v>Adelgade 128, st., 5400 Bogense</v>
      </c>
      <c r="B438">
        <v>5443088</v>
      </c>
    </row>
    <row r="439" spans="1:2" x14ac:dyDescent="0.25">
      <c r="A439" t="str">
        <v>Adelgade 130, 5400 Bogense</v>
      </c>
      <c r="B439">
        <v>5443090</v>
      </c>
    </row>
    <row r="440" spans="1:2" x14ac:dyDescent="0.25">
      <c r="A440" t="str">
        <v>Adelgade 132, 5400 Bogense</v>
      </c>
      <c r="B440">
        <v>5443091</v>
      </c>
    </row>
    <row r="441" spans="1:2" x14ac:dyDescent="0.25">
      <c r="A441" t="str">
        <v>Adelgade 134, 5400 Bogense</v>
      </c>
      <c r="B441">
        <v>5443092</v>
      </c>
    </row>
    <row r="442" spans="1:2" x14ac:dyDescent="0.25">
      <c r="A442" t="str">
        <v>Adelgade 132, 5400 Bogense</v>
      </c>
      <c r="B442">
        <v>5443093</v>
      </c>
    </row>
    <row r="443" spans="1:2" x14ac:dyDescent="0.25">
      <c r="A443" t="str">
        <v>Adelgade 136, 5400 Bogense</v>
      </c>
      <c r="B443">
        <v>5443094</v>
      </c>
    </row>
    <row r="444" spans="1:2" x14ac:dyDescent="0.25">
      <c r="A444" t="str">
        <v>Adelgade 138, 5400 Bogense</v>
      </c>
      <c r="B444">
        <v>5443095</v>
      </c>
    </row>
    <row r="445" spans="1:2" x14ac:dyDescent="0.25">
      <c r="A445" t="str">
        <v>Adelgade 140, 5400 Bogense</v>
      </c>
      <c r="B445">
        <v>5443096</v>
      </c>
    </row>
    <row r="446" spans="1:2" x14ac:dyDescent="0.25">
      <c r="A446" t="str">
        <v>Adelgade 142, 5400 Bogense</v>
      </c>
      <c r="B446">
        <v>5443097</v>
      </c>
    </row>
    <row r="447" spans="1:2" x14ac:dyDescent="0.25">
      <c r="A447" t="str">
        <v>Adelgade 144, 5400 Bogense</v>
      </c>
      <c r="B447">
        <v>5443098</v>
      </c>
    </row>
    <row r="448" spans="1:2" x14ac:dyDescent="0.25">
      <c r="A448" t="str">
        <v>Adelgade 148, 5400 Bogense</v>
      </c>
      <c r="B448">
        <v>5443101</v>
      </c>
    </row>
    <row r="449" spans="1:2" x14ac:dyDescent="0.25">
      <c r="A449" t="str">
        <v>Adelgade 146, 5400 Bogense</v>
      </c>
      <c r="B449">
        <v>5443102</v>
      </c>
    </row>
    <row r="450" spans="1:2" x14ac:dyDescent="0.25">
      <c r="A450" t="str">
        <v>Adelgade 150, 5400 Bogense</v>
      </c>
      <c r="B450">
        <v>5443103</v>
      </c>
    </row>
    <row r="451" spans="1:2" x14ac:dyDescent="0.25">
      <c r="A451">
        <v>0</v>
      </c>
      <c r="B451">
        <v>5443104</v>
      </c>
    </row>
    <row r="452" spans="1:2" x14ac:dyDescent="0.25">
      <c r="A452">
        <v>0</v>
      </c>
      <c r="B452">
        <v>5443105</v>
      </c>
    </row>
    <row r="453" spans="1:2" x14ac:dyDescent="0.25">
      <c r="A453" t="str">
        <v>Enggade 1, 5400 Bogense</v>
      </c>
      <c r="B453">
        <v>5443106</v>
      </c>
    </row>
    <row r="454" spans="1:2" x14ac:dyDescent="0.25">
      <c r="A454">
        <v>0</v>
      </c>
      <c r="B454">
        <v>5443107</v>
      </c>
    </row>
    <row r="455" spans="1:2" x14ac:dyDescent="0.25">
      <c r="A455">
        <v>0</v>
      </c>
      <c r="B455">
        <v>5443113</v>
      </c>
    </row>
    <row r="456" spans="1:2" x14ac:dyDescent="0.25">
      <c r="A456" t="str">
        <v>Odensevej 2, 5400 Bogense</v>
      </c>
      <c r="B456">
        <v>5443114</v>
      </c>
    </row>
    <row r="457" spans="1:2" x14ac:dyDescent="0.25">
      <c r="A457" t="str">
        <v>Adelgade 143, 1., 5400 Bogense</v>
      </c>
      <c r="B457">
        <v>5443118</v>
      </c>
    </row>
    <row r="458" spans="1:2" x14ac:dyDescent="0.25">
      <c r="A458" t="str">
        <v>Adelgade 143, 2., 5400 Bogense</v>
      </c>
      <c r="B458">
        <v>5443118</v>
      </c>
    </row>
    <row r="459" spans="1:2" x14ac:dyDescent="0.25">
      <c r="A459" t="str">
        <v>Adelgade 143, st., 5400 Bogense</v>
      </c>
      <c r="B459">
        <v>5443118</v>
      </c>
    </row>
    <row r="460" spans="1:2" x14ac:dyDescent="0.25">
      <c r="A460" t="str">
        <v>Odensevej 5, 5400 Bogense</v>
      </c>
      <c r="B460">
        <v>5443119</v>
      </c>
    </row>
    <row r="461" spans="1:2" x14ac:dyDescent="0.25">
      <c r="A461" t="str">
        <v>Odensevej 1, 5400 Bogense</v>
      </c>
      <c r="B461">
        <v>5443120</v>
      </c>
    </row>
    <row r="462" spans="1:2" x14ac:dyDescent="0.25">
      <c r="A462" t="str">
        <v>Odensevej 3, 1. th, 5400 Bogense</v>
      </c>
      <c r="B462">
        <v>5443121</v>
      </c>
    </row>
    <row r="463" spans="1:2" x14ac:dyDescent="0.25">
      <c r="A463" t="str">
        <v>Odensevej 3, 1. tv, 5400 Bogense</v>
      </c>
      <c r="B463">
        <v>5443121</v>
      </c>
    </row>
    <row r="464" spans="1:2" x14ac:dyDescent="0.25">
      <c r="A464" t="str">
        <v>Odensevej 3, 2. th, 5400 Bogense</v>
      </c>
      <c r="B464">
        <v>5443121</v>
      </c>
    </row>
    <row r="465" spans="1:2" x14ac:dyDescent="0.25">
      <c r="A465" t="str">
        <v>Odensevej 3, 2. tv, 5400 Bogense</v>
      </c>
      <c r="B465">
        <v>5443121</v>
      </c>
    </row>
    <row r="466" spans="1:2" x14ac:dyDescent="0.25">
      <c r="A466" t="str">
        <v>Odensevej 3, 5400 Bogense</v>
      </c>
      <c r="B466">
        <v>5443121</v>
      </c>
    </row>
    <row r="467" spans="1:2" x14ac:dyDescent="0.25">
      <c r="A467" t="str">
        <v>Odensevej 3, st. th, 5400 Bogense</v>
      </c>
      <c r="B467">
        <v>5443121</v>
      </c>
    </row>
    <row r="468" spans="1:2" x14ac:dyDescent="0.25">
      <c r="A468" t="str">
        <v>Odensevej 3, st. tv, 5400 Bogense</v>
      </c>
      <c r="B468">
        <v>5443121</v>
      </c>
    </row>
    <row r="469" spans="1:2" x14ac:dyDescent="0.25">
      <c r="A469" t="str">
        <v>Adelgade 139, 5400 Bogense</v>
      </c>
      <c r="B469">
        <v>5443122</v>
      </c>
    </row>
    <row r="470" spans="1:2" x14ac:dyDescent="0.25">
      <c r="A470" t="str">
        <v>Gl. Toldbodvej 2, 5400 Bogense</v>
      </c>
      <c r="B470">
        <v>5443124</v>
      </c>
    </row>
    <row r="471" spans="1:2" x14ac:dyDescent="0.25">
      <c r="A471" t="str">
        <v>Adelgade 145, 5400 Bogense</v>
      </c>
      <c r="B471">
        <v>5443125</v>
      </c>
    </row>
    <row r="472" spans="1:2" x14ac:dyDescent="0.25">
      <c r="A472" t="str">
        <v>Gl. Toldbodvej 1, 5400 Bogense</v>
      </c>
      <c r="B472">
        <v>5443126</v>
      </c>
    </row>
    <row r="473" spans="1:2" x14ac:dyDescent="0.25">
      <c r="A473" t="str">
        <v>Adelgade 141, 5400 Bogense</v>
      </c>
      <c r="B473">
        <v>5443127</v>
      </c>
    </row>
    <row r="474" spans="1:2" x14ac:dyDescent="0.25">
      <c r="A474" t="str">
        <v>Gl. Toldbodvej 3, 5400 Bogense</v>
      </c>
      <c r="B474">
        <v>5443130</v>
      </c>
    </row>
    <row r="475" spans="1:2" x14ac:dyDescent="0.25">
      <c r="A475" t="str">
        <v>Adelgade 135A, 5400 Bogense</v>
      </c>
      <c r="B475">
        <v>5443131</v>
      </c>
    </row>
    <row r="476" spans="1:2" x14ac:dyDescent="0.25">
      <c r="A476" t="str">
        <v>Adelgade 135A, 1., 5400 Bogense</v>
      </c>
      <c r="B476">
        <v>5443131</v>
      </c>
    </row>
    <row r="477" spans="1:2" x14ac:dyDescent="0.25">
      <c r="A477" t="str">
        <v>Adelgade 135A, st., 5400 Bogense</v>
      </c>
      <c r="B477">
        <v>5443131</v>
      </c>
    </row>
    <row r="478" spans="1:2" x14ac:dyDescent="0.25">
      <c r="A478" t="str">
        <v>Adelgade 135B, 1., 5400 Bogense</v>
      </c>
      <c r="B478">
        <v>5443131</v>
      </c>
    </row>
    <row r="479" spans="1:2" x14ac:dyDescent="0.25">
      <c r="A479" t="str">
        <v>Adelgade 135C, 1. th, 5400 Bogense</v>
      </c>
      <c r="B479">
        <v>5443131</v>
      </c>
    </row>
    <row r="480" spans="1:2" x14ac:dyDescent="0.25">
      <c r="A480" t="str">
        <v>Adelgade 135C, 1. tv, 5400 Bogense</v>
      </c>
      <c r="B480">
        <v>5443131</v>
      </c>
    </row>
    <row r="481" spans="1:2" x14ac:dyDescent="0.25">
      <c r="A481" t="str">
        <v>Adelgade 135C, st., 5400 Bogense</v>
      </c>
      <c r="B481">
        <v>5443131</v>
      </c>
    </row>
    <row r="482" spans="1:2" x14ac:dyDescent="0.25">
      <c r="A482" t="str">
        <v>Adelgade 137, 1., 5400 Bogense</v>
      </c>
      <c r="B482">
        <v>5443131</v>
      </c>
    </row>
    <row r="483" spans="1:2" x14ac:dyDescent="0.25">
      <c r="A483" t="str">
        <v>Adelgade 137, st., 5400 Bogense</v>
      </c>
      <c r="B483">
        <v>5443131</v>
      </c>
    </row>
    <row r="484" spans="1:2" x14ac:dyDescent="0.25">
      <c r="A484" t="str">
        <v>Adelgade 133, 5400 Bogense</v>
      </c>
      <c r="B484">
        <v>5443132</v>
      </c>
    </row>
    <row r="485" spans="1:2" x14ac:dyDescent="0.25">
      <c r="A485" t="str">
        <v>Adelgade 131, 5400 Bogense</v>
      </c>
      <c r="B485">
        <v>5443133</v>
      </c>
    </row>
    <row r="486" spans="1:2" x14ac:dyDescent="0.25">
      <c r="A486" t="str">
        <v>Kalkværksvej 3, 5400 Bogense</v>
      </c>
      <c r="B486">
        <v>5443134</v>
      </c>
    </row>
    <row r="487" spans="1:2" x14ac:dyDescent="0.25">
      <c r="A487" t="str">
        <v>Kalkværksvej 1, 5400 Bogense</v>
      </c>
      <c r="B487">
        <v>5443135</v>
      </c>
    </row>
    <row r="488" spans="1:2" x14ac:dyDescent="0.25">
      <c r="A488" t="str">
        <v>Adelgade 119B, 5400 Bogense</v>
      </c>
      <c r="B488">
        <v>5443136</v>
      </c>
    </row>
    <row r="489" spans="1:2" x14ac:dyDescent="0.25">
      <c r="A489" t="str">
        <v>Adelgade 125, 5400 Bogense</v>
      </c>
      <c r="B489">
        <v>5443137</v>
      </c>
    </row>
    <row r="490" spans="1:2" x14ac:dyDescent="0.25">
      <c r="A490" t="str">
        <v>Adelgade 129, 5400 Bogense</v>
      </c>
      <c r="B490">
        <v>5443138</v>
      </c>
    </row>
    <row r="491" spans="1:2" x14ac:dyDescent="0.25">
      <c r="A491" t="str">
        <v>Adelgade 129, 5400 Bogense</v>
      </c>
      <c r="B491">
        <v>5443138</v>
      </c>
    </row>
    <row r="492" spans="1:2" x14ac:dyDescent="0.25">
      <c r="A492" t="str">
        <v>Adelgade 129, 5400 Bogense</v>
      </c>
      <c r="B492">
        <v>5443138</v>
      </c>
    </row>
    <row r="493" spans="1:2" x14ac:dyDescent="0.25">
      <c r="A493" t="str">
        <v>Adelgade 129, 5400 Bogense</v>
      </c>
      <c r="B493">
        <v>5443138</v>
      </c>
    </row>
    <row r="494" spans="1:2" x14ac:dyDescent="0.25">
      <c r="A494" t="str">
        <v>Adelgade 127, 5400 Bogense</v>
      </c>
      <c r="B494">
        <v>5443139</v>
      </c>
    </row>
    <row r="495" spans="1:2" x14ac:dyDescent="0.25">
      <c r="A495" t="str">
        <v>Adelgade 125, 5400 Bogense</v>
      </c>
      <c r="B495">
        <v>5443140</v>
      </c>
    </row>
    <row r="496" spans="1:2" x14ac:dyDescent="0.25">
      <c r="A496" t="str">
        <v>Adelgade 103, 5400 Bogense</v>
      </c>
      <c r="B496">
        <v>5443143</v>
      </c>
    </row>
    <row r="497" spans="1:2" x14ac:dyDescent="0.25">
      <c r="A497" t="str">
        <v>Adelgade 103, 1., 5400 Bogense</v>
      </c>
      <c r="B497">
        <v>5443143</v>
      </c>
    </row>
    <row r="498" spans="1:2" x14ac:dyDescent="0.25">
      <c r="A498" t="str">
        <v>Adelgade 103, st., 5400 Bogense</v>
      </c>
      <c r="B498">
        <v>5443143</v>
      </c>
    </row>
    <row r="499" spans="1:2" x14ac:dyDescent="0.25">
      <c r="A499" t="str">
        <v>Adelgade 119, 5400 Bogense</v>
      </c>
      <c r="B499">
        <v>5443144</v>
      </c>
    </row>
    <row r="500" spans="1:2" x14ac:dyDescent="0.25">
      <c r="A500" t="str">
        <v>Mejerivej 4, 5400 Bogense</v>
      </c>
      <c r="B500">
        <v>5443145</v>
      </c>
    </row>
    <row r="501" spans="1:2" x14ac:dyDescent="0.25">
      <c r="A501" t="str">
        <v>Adelgade 117, 5400 Bogense</v>
      </c>
      <c r="B501">
        <v>5443146</v>
      </c>
    </row>
    <row r="502" spans="1:2" x14ac:dyDescent="0.25">
      <c r="A502" t="str">
        <v>Adelgade 117, 1., 5400 Bogense</v>
      </c>
      <c r="B502">
        <v>5443146</v>
      </c>
    </row>
    <row r="503" spans="1:2" x14ac:dyDescent="0.25">
      <c r="A503" t="str">
        <v>Adelgade 117, st., 5400 Bogense</v>
      </c>
      <c r="B503">
        <v>5443146</v>
      </c>
    </row>
    <row r="504" spans="1:2" x14ac:dyDescent="0.25">
      <c r="A504" t="str">
        <v>Adelgade 115, 5400 Bogense</v>
      </c>
      <c r="B504">
        <v>5443147</v>
      </c>
    </row>
    <row r="505" spans="1:2" x14ac:dyDescent="0.25">
      <c r="A505" t="str">
        <v>Adelgade 115, 1., 5400 Bogense</v>
      </c>
      <c r="B505">
        <v>5443147</v>
      </c>
    </row>
    <row r="506" spans="1:2" x14ac:dyDescent="0.25">
      <c r="A506" t="str">
        <v>Adelgade 115, st., 5400 Bogense</v>
      </c>
      <c r="B506">
        <v>5443147</v>
      </c>
    </row>
    <row r="507" spans="1:2" x14ac:dyDescent="0.25">
      <c r="A507" t="str">
        <v>Adelgade 113, 5400 Bogense</v>
      </c>
      <c r="B507">
        <v>5443148</v>
      </c>
    </row>
    <row r="508" spans="1:2" x14ac:dyDescent="0.25">
      <c r="A508" t="str">
        <v>Mejerivej 1B, 1. 1, 5400 Bogense</v>
      </c>
      <c r="B508">
        <v>286810</v>
      </c>
    </row>
    <row r="509" spans="1:2" x14ac:dyDescent="0.25">
      <c r="A509" t="str">
        <v>Mejerivej 1B, 1. 2, 5400 Bogense</v>
      </c>
      <c r="B509">
        <v>286811</v>
      </c>
    </row>
    <row r="510" spans="1:2" x14ac:dyDescent="0.25">
      <c r="A510" t="str">
        <v>Mejerivej 1B, 1. 3, 5400 Bogense</v>
      </c>
      <c r="B510">
        <v>286812</v>
      </c>
    </row>
    <row r="511" spans="1:2" x14ac:dyDescent="0.25">
      <c r="A511" t="str">
        <v>Mejerivej 1B, 1. 4, 5400 Bogense</v>
      </c>
      <c r="B511">
        <v>286813</v>
      </c>
    </row>
    <row r="512" spans="1:2" x14ac:dyDescent="0.25">
      <c r="A512" t="str">
        <v>Mejerivej 1B, 1. 5, 5400 Bogense</v>
      </c>
      <c r="B512">
        <v>286814</v>
      </c>
    </row>
    <row r="513" spans="1:2" x14ac:dyDescent="0.25">
      <c r="A513" t="str">
        <v>Mejerivej 1B, 1. 6, 5400 Bogense</v>
      </c>
      <c r="B513">
        <v>286815</v>
      </c>
    </row>
    <row r="514" spans="1:2" x14ac:dyDescent="0.25">
      <c r="A514" t="str">
        <v>Adelgade 109A, st., 5400 Bogense</v>
      </c>
      <c r="B514">
        <v>286816</v>
      </c>
    </row>
    <row r="515" spans="1:2" x14ac:dyDescent="0.25">
      <c r="A515" t="str">
        <v>Adelgade 109C, st., 5400 Bogense</v>
      </c>
      <c r="B515">
        <v>286816</v>
      </c>
    </row>
    <row r="516" spans="1:2" x14ac:dyDescent="0.25">
      <c r="A516" t="str">
        <v>Adelgade 109A, 5400 Bogense</v>
      </c>
      <c r="B516">
        <v>5443149</v>
      </c>
    </row>
    <row r="517" spans="1:2" x14ac:dyDescent="0.25">
      <c r="A517" t="str">
        <v>Adelgade 109B, st., 5400 Bogense</v>
      </c>
      <c r="B517">
        <v>5443149</v>
      </c>
    </row>
    <row r="518" spans="1:2" x14ac:dyDescent="0.25">
      <c r="A518" t="str">
        <v>Adelgade 107, 5400 Bogense</v>
      </c>
      <c r="B518">
        <v>5443150</v>
      </c>
    </row>
    <row r="519" spans="1:2" x14ac:dyDescent="0.25">
      <c r="A519" t="str">
        <v>Adelgade 111, 5400 Bogense</v>
      </c>
      <c r="B519">
        <v>5443152</v>
      </c>
    </row>
    <row r="520" spans="1:2" x14ac:dyDescent="0.25">
      <c r="A520" t="str">
        <v>Adelgade 101, st., 5400 Bogense</v>
      </c>
      <c r="B520">
        <v>286817</v>
      </c>
    </row>
    <row r="521" spans="1:2" x14ac:dyDescent="0.25">
      <c r="A521" t="str">
        <v>Adelgade 101, 1. 1, 5400 Bogense</v>
      </c>
      <c r="B521">
        <v>286819</v>
      </c>
    </row>
    <row r="522" spans="1:2" x14ac:dyDescent="0.25">
      <c r="A522" t="str">
        <v>Adelgade 101, 2., 5400 Bogense</v>
      </c>
      <c r="B522">
        <v>286819</v>
      </c>
    </row>
    <row r="523" spans="1:2" x14ac:dyDescent="0.25">
      <c r="A523" t="str">
        <v>Adelgade 101, 1. 2, 5400 Bogense</v>
      </c>
      <c r="B523">
        <v>286820</v>
      </c>
    </row>
    <row r="524" spans="1:2" x14ac:dyDescent="0.25">
      <c r="A524" t="str">
        <v>Adelgade 101, 1. 3, 5400 Bogense</v>
      </c>
      <c r="B524">
        <v>286821</v>
      </c>
    </row>
    <row r="525" spans="1:2" x14ac:dyDescent="0.25">
      <c r="A525" t="str">
        <v>Adelgade 101, 5400 Bogense</v>
      </c>
      <c r="B525">
        <v>5443158</v>
      </c>
    </row>
    <row r="526" spans="1:2" x14ac:dyDescent="0.25">
      <c r="A526" t="str">
        <v>Adelgade 97, 5400 Bogense</v>
      </c>
      <c r="B526">
        <v>5443162</v>
      </c>
    </row>
    <row r="527" spans="1:2" x14ac:dyDescent="0.25">
      <c r="A527" t="str">
        <v>Adelgade 97, 1., 5400 Bogense</v>
      </c>
      <c r="B527">
        <v>5443162</v>
      </c>
    </row>
    <row r="528" spans="1:2" x14ac:dyDescent="0.25">
      <c r="A528" t="str">
        <v>Adelgade 97, st., 5400 Bogense</v>
      </c>
      <c r="B528">
        <v>5443162</v>
      </c>
    </row>
    <row r="529" spans="1:2" x14ac:dyDescent="0.25">
      <c r="A529" t="str">
        <v>Adelgade 95, 5400 Bogense</v>
      </c>
      <c r="B529">
        <v>5443163</v>
      </c>
    </row>
    <row r="530" spans="1:2" x14ac:dyDescent="0.25">
      <c r="A530" t="str">
        <v>Adelgade 95, 5400 Bogense</v>
      </c>
      <c r="B530">
        <v>5443163</v>
      </c>
    </row>
    <row r="531" spans="1:2" x14ac:dyDescent="0.25">
      <c r="A531" t="str">
        <v>Skovvej 32, 1. th, 5400 Bogense</v>
      </c>
      <c r="B531">
        <v>5443163</v>
      </c>
    </row>
    <row r="532" spans="1:2" x14ac:dyDescent="0.25">
      <c r="A532" t="str">
        <v>Skovvej 32, 1. tv, 5400 Bogense</v>
      </c>
      <c r="B532">
        <v>5443163</v>
      </c>
    </row>
    <row r="533" spans="1:2" x14ac:dyDescent="0.25">
      <c r="A533" t="str">
        <v>Skovvej 32, 2. th, 5400 Bogense</v>
      </c>
      <c r="B533">
        <v>5443163</v>
      </c>
    </row>
    <row r="534" spans="1:2" x14ac:dyDescent="0.25">
      <c r="A534" t="str">
        <v>Skovvej 32, 2. tv, 5400 Bogense</v>
      </c>
      <c r="B534">
        <v>5443163</v>
      </c>
    </row>
    <row r="535" spans="1:2" x14ac:dyDescent="0.25">
      <c r="A535" t="str">
        <v>Skovvej 30A, 5400 Bogense</v>
      </c>
      <c r="B535">
        <v>5443164</v>
      </c>
    </row>
    <row r="536" spans="1:2" x14ac:dyDescent="0.25">
      <c r="A536" t="str">
        <v>Skovvej 30A, 5400 Bogense</v>
      </c>
      <c r="B536">
        <v>5443164</v>
      </c>
    </row>
    <row r="537" spans="1:2" x14ac:dyDescent="0.25">
      <c r="A537" t="str">
        <v>Skovvej 30B, 5400 Bogense</v>
      </c>
      <c r="B537">
        <v>5443164</v>
      </c>
    </row>
    <row r="538" spans="1:2" x14ac:dyDescent="0.25">
      <c r="A538" t="str">
        <v>Skovvej 30C, 1., 5400 Bogense</v>
      </c>
      <c r="B538">
        <v>5443164</v>
      </c>
    </row>
    <row r="539" spans="1:2" x14ac:dyDescent="0.25">
      <c r="A539" t="str">
        <v>Skovvej 30D, 1. th, 5400 Bogense</v>
      </c>
      <c r="B539">
        <v>5443164</v>
      </c>
    </row>
    <row r="540" spans="1:2" x14ac:dyDescent="0.25">
      <c r="A540" t="str">
        <v>Skovvej 30D, 1. tv, 5400 Bogense</v>
      </c>
      <c r="B540">
        <v>5443164</v>
      </c>
    </row>
    <row r="541" spans="1:2" x14ac:dyDescent="0.25">
      <c r="A541" t="str">
        <v>Skovvej 30D, st. th, 5400 Bogense</v>
      </c>
      <c r="B541">
        <v>5443164</v>
      </c>
    </row>
    <row r="542" spans="1:2" x14ac:dyDescent="0.25">
      <c r="A542" t="str">
        <v>Skovvej 30D, st. tv, 5400 Bogense</v>
      </c>
      <c r="B542">
        <v>5443164</v>
      </c>
    </row>
    <row r="543" spans="1:2" x14ac:dyDescent="0.25">
      <c r="A543" t="str">
        <v>Skovvej 30E, 1. th, 5400 Bogense</v>
      </c>
      <c r="B543">
        <v>5443164</v>
      </c>
    </row>
    <row r="544" spans="1:2" x14ac:dyDescent="0.25">
      <c r="A544" t="str">
        <v>Skovvej 30E, 1. tv, 5400 Bogense</v>
      </c>
      <c r="B544">
        <v>5443164</v>
      </c>
    </row>
    <row r="545" spans="1:2" x14ac:dyDescent="0.25">
      <c r="A545" t="str">
        <v>Skovvej 30E, st., 5400 Bogense</v>
      </c>
      <c r="B545">
        <v>5443164</v>
      </c>
    </row>
    <row r="546" spans="1:2" x14ac:dyDescent="0.25">
      <c r="A546" t="str">
        <v>Adelgade 91, 5400 Bogense</v>
      </c>
      <c r="B546">
        <v>5443165</v>
      </c>
    </row>
    <row r="547" spans="1:2" x14ac:dyDescent="0.25">
      <c r="A547" t="str">
        <v>Adelgade 91, 1., 5400 Bogense</v>
      </c>
      <c r="B547">
        <v>5443165</v>
      </c>
    </row>
    <row r="548" spans="1:2" x14ac:dyDescent="0.25">
      <c r="A548" t="str">
        <v>Adelgade 91, 5400 Bogense</v>
      </c>
      <c r="B548">
        <v>5443165</v>
      </c>
    </row>
    <row r="549" spans="1:2" x14ac:dyDescent="0.25">
      <c r="A549" t="str">
        <v>Adelgade 89, 5400 Bogense</v>
      </c>
      <c r="B549">
        <v>5443166</v>
      </c>
    </row>
    <row r="550" spans="1:2" x14ac:dyDescent="0.25">
      <c r="A550" t="str">
        <v>Adelgade 87A, 5400 Bogense</v>
      </c>
      <c r="B550">
        <v>5443168</v>
      </c>
    </row>
    <row r="551" spans="1:2" x14ac:dyDescent="0.25">
      <c r="A551" t="str">
        <v>Adelgade 87A, 5400 Bogense</v>
      </c>
      <c r="B551">
        <v>5443168</v>
      </c>
    </row>
    <row r="552" spans="1:2" x14ac:dyDescent="0.25">
      <c r="A552" t="str">
        <v>Adelgade 87B, 5400 Bogense</v>
      </c>
      <c r="B552">
        <v>5443168</v>
      </c>
    </row>
    <row r="553" spans="1:2" x14ac:dyDescent="0.25">
      <c r="A553" t="str">
        <v>Adelgade 87D, 1., 5400 Bogense</v>
      </c>
      <c r="B553">
        <v>5443168</v>
      </c>
    </row>
    <row r="554" spans="1:2" x14ac:dyDescent="0.25">
      <c r="A554" t="str">
        <v>Adelgade 87D, st., 5400 Bogense</v>
      </c>
      <c r="B554">
        <v>5443168</v>
      </c>
    </row>
    <row r="555" spans="1:2" x14ac:dyDescent="0.25">
      <c r="A555" t="str">
        <v>Adelgade 87E, 1. th, 5400 Bogense</v>
      </c>
      <c r="B555">
        <v>5443168</v>
      </c>
    </row>
    <row r="556" spans="1:2" x14ac:dyDescent="0.25">
      <c r="A556" t="str">
        <v>Adelgade 87E, 1. tv, 5400 Bogense</v>
      </c>
      <c r="B556">
        <v>5443168</v>
      </c>
    </row>
    <row r="557" spans="1:2" x14ac:dyDescent="0.25">
      <c r="A557" t="str">
        <v>Adelgade 87F, 5400 Bogense</v>
      </c>
      <c r="B557">
        <v>5443168</v>
      </c>
    </row>
    <row r="558" spans="1:2" x14ac:dyDescent="0.25">
      <c r="A558" t="str">
        <v>Adelgade 87G, 5400 Bogense</v>
      </c>
      <c r="B558">
        <v>5443168</v>
      </c>
    </row>
    <row r="559" spans="1:2" x14ac:dyDescent="0.25">
      <c r="A559" t="str">
        <v>Østergade 2, 1. 1, 5400 Bogense</v>
      </c>
      <c r="B559">
        <v>5443169</v>
      </c>
    </row>
    <row r="560" spans="1:2" x14ac:dyDescent="0.25">
      <c r="A560" t="str">
        <v>Østergade 2, 1. 2, 5400 Bogense</v>
      </c>
      <c r="B560">
        <v>5443169</v>
      </c>
    </row>
    <row r="561" spans="1:2" x14ac:dyDescent="0.25">
      <c r="A561" t="str">
        <v>Østergade 2, st., 5400 Bogense</v>
      </c>
      <c r="B561">
        <v>5443169</v>
      </c>
    </row>
    <row r="562" spans="1:2" x14ac:dyDescent="0.25">
      <c r="A562" t="str">
        <v>Østergade 4, 5400 Bogense</v>
      </c>
      <c r="B562">
        <v>5443171</v>
      </c>
    </row>
    <row r="563" spans="1:2" x14ac:dyDescent="0.25">
      <c r="A563" t="str">
        <v>Skovvej 16, 5400 Bogense</v>
      </c>
      <c r="B563">
        <v>5443172</v>
      </c>
    </row>
    <row r="564" spans="1:2" x14ac:dyDescent="0.25">
      <c r="A564" t="str">
        <v>Østergade 6, 1., 5400 Bogense</v>
      </c>
      <c r="B564">
        <v>5443173</v>
      </c>
    </row>
    <row r="565" spans="1:2" x14ac:dyDescent="0.25">
      <c r="A565" t="str">
        <v>Østergade 6, st., 5400 Bogense</v>
      </c>
      <c r="B565">
        <v>5443173</v>
      </c>
    </row>
    <row r="566" spans="1:2" x14ac:dyDescent="0.25">
      <c r="A566">
        <v>0</v>
      </c>
      <c r="B566">
        <v>5443174</v>
      </c>
    </row>
    <row r="567" spans="1:2" x14ac:dyDescent="0.25">
      <c r="A567" t="str">
        <v>Skovvej 12A, 5400 Bogense</v>
      </c>
      <c r="B567">
        <v>5443175</v>
      </c>
    </row>
    <row r="568" spans="1:2" x14ac:dyDescent="0.25">
      <c r="A568" t="str">
        <v>Skovvej 12B, 1., 5400 Bogense</v>
      </c>
      <c r="B568">
        <v>5443175</v>
      </c>
    </row>
    <row r="569" spans="1:2" x14ac:dyDescent="0.25">
      <c r="A569" t="str">
        <v>Skovvej 12B, 5400 Bogense</v>
      </c>
      <c r="B569">
        <v>5443175</v>
      </c>
    </row>
    <row r="570" spans="1:2" x14ac:dyDescent="0.25">
      <c r="A570" t="str">
        <v>Skovvej 12C, 1., 5400 Bogense</v>
      </c>
      <c r="B570">
        <v>5443175</v>
      </c>
    </row>
    <row r="571" spans="1:2" x14ac:dyDescent="0.25">
      <c r="A571" t="str">
        <v>Skovvej 12C, st., 5400 Bogense</v>
      </c>
      <c r="B571">
        <v>5443175</v>
      </c>
    </row>
    <row r="572" spans="1:2" x14ac:dyDescent="0.25">
      <c r="A572" t="str">
        <v>Østergade 8, st., 5400 Bogense</v>
      </c>
      <c r="B572">
        <v>5443175</v>
      </c>
    </row>
    <row r="573" spans="1:2" x14ac:dyDescent="0.25">
      <c r="A573" t="str">
        <v>Østergade 10, 1., 5400 Bogense</v>
      </c>
      <c r="B573">
        <v>5443176</v>
      </c>
    </row>
    <row r="574" spans="1:2" x14ac:dyDescent="0.25">
      <c r="A574" t="str">
        <v>Østergade 10, 5400 Bogense</v>
      </c>
      <c r="B574">
        <v>5443176</v>
      </c>
    </row>
    <row r="575" spans="1:2" x14ac:dyDescent="0.25">
      <c r="A575" t="str">
        <v>Østergade 10, st., 5400 Bogense</v>
      </c>
      <c r="B575">
        <v>5443176</v>
      </c>
    </row>
    <row r="576" spans="1:2" x14ac:dyDescent="0.25">
      <c r="A576" t="str">
        <v>Østergade 12, 1., 5400 Bogense</v>
      </c>
      <c r="B576">
        <v>5443177</v>
      </c>
    </row>
    <row r="577" spans="1:2" x14ac:dyDescent="0.25">
      <c r="A577" t="str">
        <v>Østergade 12, st., 5400 Bogense</v>
      </c>
      <c r="B577">
        <v>5443177</v>
      </c>
    </row>
    <row r="578" spans="1:2" x14ac:dyDescent="0.25">
      <c r="A578" t="str">
        <v>Østergade 14, 5400 Bogense</v>
      </c>
      <c r="B578">
        <v>5443178</v>
      </c>
    </row>
    <row r="579" spans="1:2" x14ac:dyDescent="0.25">
      <c r="A579" t="str">
        <v>Østergade 14A, 5400 Bogense</v>
      </c>
      <c r="B579">
        <v>5443178</v>
      </c>
    </row>
    <row r="580" spans="1:2" x14ac:dyDescent="0.25">
      <c r="A580" t="str">
        <v>Østergade 14B, 5400 Bogense</v>
      </c>
      <c r="B580">
        <v>5443178</v>
      </c>
    </row>
    <row r="581" spans="1:2" x14ac:dyDescent="0.25">
      <c r="A581" t="str">
        <v>Skovvej 10, 5400 Bogense</v>
      </c>
      <c r="B581">
        <v>5443179</v>
      </c>
    </row>
    <row r="582" spans="1:2" x14ac:dyDescent="0.25">
      <c r="A582" t="str">
        <v>Skovvej 8C, 1. th, 5400 Bogense</v>
      </c>
      <c r="B582">
        <v>5443180</v>
      </c>
    </row>
    <row r="583" spans="1:2" x14ac:dyDescent="0.25">
      <c r="A583" t="str">
        <v>Skovvej 8C, st. tv, 5400 Bogense</v>
      </c>
      <c r="B583">
        <v>5443180</v>
      </c>
    </row>
    <row r="584" spans="1:2" x14ac:dyDescent="0.25">
      <c r="A584" t="str">
        <v>Østergade 16, 5400 Bogense</v>
      </c>
      <c r="B584">
        <v>5443181</v>
      </c>
    </row>
    <row r="585" spans="1:2" x14ac:dyDescent="0.25">
      <c r="A585" t="str">
        <v>Østergade 16A, 5400 Bogense</v>
      </c>
      <c r="B585">
        <v>5443181</v>
      </c>
    </row>
    <row r="586" spans="1:2" x14ac:dyDescent="0.25">
      <c r="A586" t="str">
        <v>Østergade 16B, 1. th, 5400 Bogense</v>
      </c>
      <c r="B586">
        <v>5443181</v>
      </c>
    </row>
    <row r="587" spans="1:2" x14ac:dyDescent="0.25">
      <c r="A587" t="str">
        <v>Østergade 16B, 1. tv, 5400 Bogense</v>
      </c>
      <c r="B587">
        <v>5443181</v>
      </c>
    </row>
    <row r="588" spans="1:2" x14ac:dyDescent="0.25">
      <c r="A588" t="str">
        <v>Østergade 16B, 2. th, 5400 Bogense</v>
      </c>
      <c r="B588">
        <v>5443181</v>
      </c>
    </row>
    <row r="589" spans="1:2" x14ac:dyDescent="0.25">
      <c r="A589" t="str">
        <v>Østergade 16B, 2. tv, 5400 Bogense</v>
      </c>
      <c r="B589">
        <v>5443181</v>
      </c>
    </row>
    <row r="590" spans="1:2" x14ac:dyDescent="0.25">
      <c r="A590" t="str">
        <v>Østergade 16C, 5400 Bogense</v>
      </c>
      <c r="B590">
        <v>5443181</v>
      </c>
    </row>
    <row r="591" spans="1:2" x14ac:dyDescent="0.25">
      <c r="A591" t="str">
        <v>Østergade 18, 5400 Bogense</v>
      </c>
      <c r="B591">
        <v>5443182</v>
      </c>
    </row>
    <row r="592" spans="1:2" x14ac:dyDescent="0.25">
      <c r="A592" t="str">
        <v>Østergade 20, 5400 Bogense</v>
      </c>
      <c r="B592">
        <v>5443183</v>
      </c>
    </row>
    <row r="593" spans="1:2" x14ac:dyDescent="0.25">
      <c r="A593" t="str">
        <v>Skovvej 6A, 5400 Bogense</v>
      </c>
      <c r="B593">
        <v>5443184</v>
      </c>
    </row>
    <row r="594" spans="1:2" x14ac:dyDescent="0.25">
      <c r="A594" t="str">
        <v>Skovvej 6B, 5400 Bogense</v>
      </c>
      <c r="B594">
        <v>5443184</v>
      </c>
    </row>
    <row r="595" spans="1:2" x14ac:dyDescent="0.25">
      <c r="A595" t="str">
        <v>Skovvej 6D, 5400 Bogense</v>
      </c>
      <c r="B595">
        <v>5443184</v>
      </c>
    </row>
    <row r="596" spans="1:2" x14ac:dyDescent="0.25">
      <c r="A596" t="str">
        <v>Skovvej 6E, 5400 Bogense</v>
      </c>
      <c r="B596">
        <v>5443184</v>
      </c>
    </row>
    <row r="597" spans="1:2" x14ac:dyDescent="0.25">
      <c r="A597" t="str">
        <v>Østergade 22, 1., 5400 Bogense</v>
      </c>
      <c r="B597">
        <v>5443184</v>
      </c>
    </row>
    <row r="598" spans="1:2" x14ac:dyDescent="0.25">
      <c r="A598" t="str">
        <v>Østergade 22, 2., 5400 Bogense</v>
      </c>
      <c r="B598">
        <v>5443184</v>
      </c>
    </row>
    <row r="599" spans="1:2" x14ac:dyDescent="0.25">
      <c r="A599" t="str">
        <v>Østergade 22, st., 5400 Bogense</v>
      </c>
      <c r="B599">
        <v>5443184</v>
      </c>
    </row>
    <row r="600" spans="1:2" x14ac:dyDescent="0.25">
      <c r="A600" t="str">
        <v>Østergade 24, 5400 Bogense</v>
      </c>
      <c r="B600">
        <v>5443185</v>
      </c>
    </row>
    <row r="601" spans="1:2" x14ac:dyDescent="0.25">
      <c r="A601">
        <v>0</v>
      </c>
      <c r="B601">
        <v>5443186</v>
      </c>
    </row>
    <row r="602" spans="1:2" x14ac:dyDescent="0.25">
      <c r="A602" t="str">
        <v>Østergade 26, 5400 Bogense</v>
      </c>
      <c r="B602">
        <v>5443187</v>
      </c>
    </row>
    <row r="603" spans="1:2" x14ac:dyDescent="0.25">
      <c r="A603" t="str">
        <v>Østergade 26, 5400 Bogense</v>
      </c>
      <c r="B603">
        <v>5443187</v>
      </c>
    </row>
    <row r="604" spans="1:2" x14ac:dyDescent="0.25">
      <c r="A604" t="str">
        <v>Østergade 28, 5400 Bogense</v>
      </c>
      <c r="B604">
        <v>5443188</v>
      </c>
    </row>
    <row r="605" spans="1:2" x14ac:dyDescent="0.25">
      <c r="A605" t="str">
        <v>Østergade 30, 1., 5400 Bogense</v>
      </c>
      <c r="B605">
        <v>5443189</v>
      </c>
    </row>
    <row r="606" spans="1:2" x14ac:dyDescent="0.25">
      <c r="A606" t="str">
        <v>Østergade 30, st., 5400 Bogense</v>
      </c>
      <c r="B606">
        <v>5443189</v>
      </c>
    </row>
    <row r="607" spans="1:2" x14ac:dyDescent="0.25">
      <c r="A607" t="str">
        <v>Østergade 32, 5400 Bogense</v>
      </c>
      <c r="B607">
        <v>286822</v>
      </c>
    </row>
    <row r="608" spans="1:2" x14ac:dyDescent="0.25">
      <c r="A608" t="str">
        <v>Østergade 34, 5400 Bogense</v>
      </c>
      <c r="B608">
        <v>286823</v>
      </c>
    </row>
    <row r="609" spans="1:2" x14ac:dyDescent="0.25">
      <c r="A609" t="str">
        <v>Østergade 13, 5400 Bogense</v>
      </c>
      <c r="B609">
        <v>5443194</v>
      </c>
    </row>
    <row r="610" spans="1:2" x14ac:dyDescent="0.25">
      <c r="A610" t="str">
        <v>Østergade 15, 5400 Bogense</v>
      </c>
      <c r="B610">
        <v>5443194</v>
      </c>
    </row>
    <row r="611" spans="1:2" x14ac:dyDescent="0.25">
      <c r="A611" t="str">
        <v>Østergade 11, 1., 5400 Bogense</v>
      </c>
      <c r="B611">
        <v>5443197</v>
      </c>
    </row>
    <row r="612" spans="1:2" x14ac:dyDescent="0.25">
      <c r="A612" t="str">
        <v>Østergade 11, st., 5400 Bogense</v>
      </c>
      <c r="B612">
        <v>5443197</v>
      </c>
    </row>
    <row r="613" spans="1:2" x14ac:dyDescent="0.25">
      <c r="A613" t="str">
        <v>Østergade 9, 1., 5400 Bogense</v>
      </c>
      <c r="B613">
        <v>5443198</v>
      </c>
    </row>
    <row r="614" spans="1:2" x14ac:dyDescent="0.25">
      <c r="A614" t="str">
        <v>Østergade 9, 5400 Bogense</v>
      </c>
      <c r="B614">
        <v>5443198</v>
      </c>
    </row>
    <row r="615" spans="1:2" x14ac:dyDescent="0.25">
      <c r="A615" t="str">
        <v>Østergade 9, 5400 Bogense</v>
      </c>
      <c r="B615">
        <v>5443198</v>
      </c>
    </row>
    <row r="616" spans="1:2" x14ac:dyDescent="0.25">
      <c r="A616" t="str">
        <v>Østergade 5A, 1., 5400 Bogense</v>
      </c>
      <c r="B616">
        <v>5443200</v>
      </c>
    </row>
    <row r="617" spans="1:2" x14ac:dyDescent="0.25">
      <c r="A617" t="str">
        <v>Østergade 5A, 2., 5400 Bogense</v>
      </c>
      <c r="B617">
        <v>5443200</v>
      </c>
    </row>
    <row r="618" spans="1:2" x14ac:dyDescent="0.25">
      <c r="A618" t="str">
        <v>Østergade 5B, st., 5400 Bogense</v>
      </c>
      <c r="B618">
        <v>5443200</v>
      </c>
    </row>
    <row r="619" spans="1:2" x14ac:dyDescent="0.25">
      <c r="A619">
        <v>0</v>
      </c>
      <c r="B619">
        <v>5443202</v>
      </c>
    </row>
    <row r="620" spans="1:2" x14ac:dyDescent="0.25">
      <c r="A620" t="str">
        <v>Østergade 3, st. th, 5400 Bogense</v>
      </c>
      <c r="B620">
        <v>5443204</v>
      </c>
    </row>
    <row r="621" spans="1:2" x14ac:dyDescent="0.25">
      <c r="A621" t="str">
        <v>Østergade 3, st. tv, 5400 Bogense</v>
      </c>
      <c r="B621">
        <v>5443204</v>
      </c>
    </row>
    <row r="622" spans="1:2" x14ac:dyDescent="0.25">
      <c r="A622" t="str">
        <v>Adelgade 85A, 5400 Bogense</v>
      </c>
      <c r="B622">
        <v>5443208</v>
      </c>
    </row>
    <row r="623" spans="1:2" x14ac:dyDescent="0.25">
      <c r="A623" t="str">
        <v>Adelgade 85B, 5400 Bogense</v>
      </c>
      <c r="B623">
        <v>5443208</v>
      </c>
    </row>
    <row r="624" spans="1:2" x14ac:dyDescent="0.25">
      <c r="A624" t="str">
        <v>Adelgade 81, 5400 Bogense</v>
      </c>
      <c r="B624">
        <v>5443210</v>
      </c>
    </row>
    <row r="625" spans="1:2" x14ac:dyDescent="0.25">
      <c r="A625" t="str">
        <v>Adelgade 79, 1., 5400 Bogense</v>
      </c>
      <c r="B625">
        <v>5443211</v>
      </c>
    </row>
    <row r="626" spans="1:2" x14ac:dyDescent="0.25">
      <c r="A626" t="str">
        <v>Adelgade 79, 2., 5400 Bogense</v>
      </c>
      <c r="B626">
        <v>5443211</v>
      </c>
    </row>
    <row r="627" spans="1:2" x14ac:dyDescent="0.25">
      <c r="A627" t="str">
        <v>Adelgade 79, 5400 Bogense</v>
      </c>
      <c r="B627">
        <v>5443211</v>
      </c>
    </row>
    <row r="628" spans="1:2" x14ac:dyDescent="0.25">
      <c r="A628" t="str">
        <v>Adelgade 77, 5400 Bogense</v>
      </c>
      <c r="B628">
        <v>5443212</v>
      </c>
    </row>
    <row r="629" spans="1:2" x14ac:dyDescent="0.25">
      <c r="A629" t="str">
        <v>Sct. Annagade 22, 1., 5400 Bogense</v>
      </c>
      <c r="B629">
        <v>5443212</v>
      </c>
    </row>
    <row r="630" spans="1:2" x14ac:dyDescent="0.25">
      <c r="A630" t="str">
        <v>Sct. Annagade 22, 2., 5400 Bogense</v>
      </c>
      <c r="B630">
        <v>5443212</v>
      </c>
    </row>
    <row r="631" spans="1:2" x14ac:dyDescent="0.25">
      <c r="A631" t="str">
        <v>Sct. Annagade 22, st., 5400 Bogense</v>
      </c>
      <c r="B631">
        <v>5443212</v>
      </c>
    </row>
    <row r="632" spans="1:2" x14ac:dyDescent="0.25">
      <c r="A632" t="str">
        <v>Adelgade 75, 1., 5400 Bogense</v>
      </c>
      <c r="B632">
        <v>5443213</v>
      </c>
    </row>
    <row r="633" spans="1:2" x14ac:dyDescent="0.25">
      <c r="A633" t="str">
        <v>Adelgade 75, st., 5400 Bogense</v>
      </c>
      <c r="B633">
        <v>5443213</v>
      </c>
    </row>
    <row r="634" spans="1:2" x14ac:dyDescent="0.25">
      <c r="A634" t="str">
        <v>Adelgade 75A, 5400 Bogense</v>
      </c>
      <c r="B634">
        <v>5443213</v>
      </c>
    </row>
    <row r="635" spans="1:2" x14ac:dyDescent="0.25">
      <c r="A635" t="str">
        <v>Adelgade 73A, 1. th, 5400 Bogense</v>
      </c>
      <c r="B635">
        <v>5443214</v>
      </c>
    </row>
    <row r="636" spans="1:2" x14ac:dyDescent="0.25">
      <c r="A636" t="str">
        <v>Adelgade 73A, 1. tv, 5400 Bogense</v>
      </c>
      <c r="B636">
        <v>5443214</v>
      </c>
    </row>
    <row r="637" spans="1:2" x14ac:dyDescent="0.25">
      <c r="A637" t="str">
        <v>Adelgade 73A, st., 5400 Bogense</v>
      </c>
      <c r="B637">
        <v>5443214</v>
      </c>
    </row>
    <row r="638" spans="1:2" x14ac:dyDescent="0.25">
      <c r="A638" t="str">
        <v>Adelgade 73B, 2., 5400 Bogense</v>
      </c>
      <c r="B638">
        <v>5443214</v>
      </c>
    </row>
    <row r="639" spans="1:2" x14ac:dyDescent="0.25">
      <c r="A639" t="str">
        <v>Adelgade 73C, 5400 Bogense</v>
      </c>
      <c r="B639">
        <v>5443214</v>
      </c>
    </row>
    <row r="640" spans="1:2" x14ac:dyDescent="0.25">
      <c r="A640" t="str">
        <v>Sct. Annagade 14A, 5400 Bogense</v>
      </c>
      <c r="B640">
        <v>5443214</v>
      </c>
    </row>
    <row r="641" spans="1:2" x14ac:dyDescent="0.25">
      <c r="A641" t="str">
        <v>Sct. Annagade 14B, 5400 Bogense</v>
      </c>
      <c r="B641">
        <v>5443214</v>
      </c>
    </row>
    <row r="642" spans="1:2" x14ac:dyDescent="0.25">
      <c r="A642" t="str">
        <v>Sct. Annagade 14C, 5400 Bogense</v>
      </c>
      <c r="B642">
        <v>5443214</v>
      </c>
    </row>
    <row r="643" spans="1:2" x14ac:dyDescent="0.25">
      <c r="A643" t="str">
        <v>Sct. Annagade 14D, 5400 Bogense</v>
      </c>
      <c r="B643">
        <v>5443214</v>
      </c>
    </row>
    <row r="644" spans="1:2" x14ac:dyDescent="0.25">
      <c r="A644" t="str">
        <v>Sct. Annagade 18, 5400 Bogense</v>
      </c>
      <c r="B644">
        <v>5443215</v>
      </c>
    </row>
    <row r="645" spans="1:2" x14ac:dyDescent="0.25">
      <c r="A645" t="str">
        <v>Sct. Annagade 18, 5400 Bogense</v>
      </c>
      <c r="B645">
        <v>5443215</v>
      </c>
    </row>
    <row r="646" spans="1:2" x14ac:dyDescent="0.25">
      <c r="A646" t="str">
        <v>Adelgade 71A, st., 5400 Bogense</v>
      </c>
      <c r="B646">
        <v>286824</v>
      </c>
    </row>
    <row r="647" spans="1:2" x14ac:dyDescent="0.25">
      <c r="A647" t="str">
        <v>Adelgade 71B, st., 5400 Bogense</v>
      </c>
      <c r="B647">
        <v>286825</v>
      </c>
    </row>
    <row r="648" spans="1:2" x14ac:dyDescent="0.25">
      <c r="A648" t="str">
        <v>Adelgade 71C, st. th, 5400 Bogense</v>
      </c>
      <c r="B648">
        <v>286826</v>
      </c>
    </row>
    <row r="649" spans="1:2" x14ac:dyDescent="0.25">
      <c r="A649" t="str">
        <v>Adelgade 71C, st. tv, 5400 Bogense</v>
      </c>
      <c r="B649">
        <v>286826</v>
      </c>
    </row>
    <row r="650" spans="1:2" x14ac:dyDescent="0.25">
      <c r="A650" t="str">
        <v>Adelgade 71C, 1. mf, 5400 Bogense</v>
      </c>
      <c r="B650">
        <v>286827</v>
      </c>
    </row>
    <row r="651" spans="1:2" x14ac:dyDescent="0.25">
      <c r="A651" t="str">
        <v>Adelgade 71C, 1. th, 5400 Bogense</v>
      </c>
      <c r="B651">
        <v>286827</v>
      </c>
    </row>
    <row r="652" spans="1:2" x14ac:dyDescent="0.25">
      <c r="A652" t="str">
        <v>Adelgade 71C, 1. tv, 5400 Bogense</v>
      </c>
      <c r="B652">
        <v>286827</v>
      </c>
    </row>
    <row r="653" spans="1:2" x14ac:dyDescent="0.25">
      <c r="A653" t="str">
        <v>Adelgade 71C, 2. th, 5400 Bogense</v>
      </c>
      <c r="B653">
        <v>286827</v>
      </c>
    </row>
    <row r="654" spans="1:2" x14ac:dyDescent="0.25">
      <c r="A654" t="str">
        <v>Adelgade 71C, 2. tv, 5400 Bogense</v>
      </c>
      <c r="B654">
        <v>286827</v>
      </c>
    </row>
    <row r="655" spans="1:2" x14ac:dyDescent="0.25">
      <c r="A655" t="str">
        <v>Adelgade 71A, 1. tv, 5400 Bogense</v>
      </c>
      <c r="B655">
        <v>286828</v>
      </c>
    </row>
    <row r="656" spans="1:2" x14ac:dyDescent="0.25">
      <c r="A656" t="str">
        <v>Adelgade 71A, 1. th, 5400 Bogense</v>
      </c>
      <c r="B656">
        <v>286829</v>
      </c>
    </row>
    <row r="657" spans="1:2" x14ac:dyDescent="0.25">
      <c r="A657" t="str">
        <v>Adelgade 71A, 2. tv, 5400 Bogense</v>
      </c>
      <c r="B657">
        <v>286830</v>
      </c>
    </row>
    <row r="658" spans="1:2" x14ac:dyDescent="0.25">
      <c r="A658" t="str">
        <v>Adelgade 71A, 2. th, 5400 Bogense</v>
      </c>
      <c r="B658">
        <v>286831</v>
      </c>
    </row>
    <row r="659" spans="1:2" x14ac:dyDescent="0.25">
      <c r="A659" t="str">
        <v>Adelgade 69, 5400 Bogense</v>
      </c>
      <c r="B659">
        <v>5443217</v>
      </c>
    </row>
    <row r="660" spans="1:2" x14ac:dyDescent="0.25">
      <c r="A660" t="str">
        <v>Adelgade 67, 5400 Bogense</v>
      </c>
      <c r="B660">
        <v>5443219</v>
      </c>
    </row>
    <row r="661" spans="1:2" x14ac:dyDescent="0.25">
      <c r="A661" t="str">
        <v>Rådhusstræde 4, 5400 Bogense</v>
      </c>
      <c r="B661">
        <v>5443221</v>
      </c>
    </row>
    <row r="662" spans="1:2" x14ac:dyDescent="0.25">
      <c r="A662" t="str">
        <v>Rådhusstræde 10A, 5400 Bogense</v>
      </c>
      <c r="B662">
        <v>5443222</v>
      </c>
    </row>
    <row r="663" spans="1:2" x14ac:dyDescent="0.25">
      <c r="A663" t="str">
        <v>Sct. Annagade 6, 5400 Bogense</v>
      </c>
      <c r="B663">
        <v>5443223</v>
      </c>
    </row>
    <row r="664" spans="1:2" x14ac:dyDescent="0.25">
      <c r="A664" t="str">
        <v>Rådhusstræde 10, 5400 Bogense</v>
      </c>
      <c r="B664">
        <v>5443224</v>
      </c>
    </row>
    <row r="665" spans="1:2" x14ac:dyDescent="0.25">
      <c r="A665" t="str">
        <v>Sct. Annagade 8, 5400 Bogense</v>
      </c>
      <c r="B665">
        <v>5443225</v>
      </c>
    </row>
    <row r="666" spans="1:2" x14ac:dyDescent="0.25">
      <c r="A666" t="str">
        <v>Sct. Annagade 10, 1., 5400 Bogense</v>
      </c>
      <c r="B666">
        <v>5443226</v>
      </c>
    </row>
    <row r="667" spans="1:2" x14ac:dyDescent="0.25">
      <c r="A667" t="str">
        <v>Sct. Annagade 10, st., 5400 Bogense</v>
      </c>
      <c r="B667">
        <v>5443226</v>
      </c>
    </row>
    <row r="668" spans="1:2" x14ac:dyDescent="0.25">
      <c r="A668" t="str">
        <v>Sct. Annagade 12, 5400 Bogense</v>
      </c>
      <c r="B668">
        <v>5443227</v>
      </c>
    </row>
    <row r="669" spans="1:2" x14ac:dyDescent="0.25">
      <c r="A669" t="str">
        <v>Sct. Annagade 26, 5400 Bogense</v>
      </c>
      <c r="B669">
        <v>5443235</v>
      </c>
    </row>
    <row r="670" spans="1:2" x14ac:dyDescent="0.25">
      <c r="A670" t="str">
        <v>Sct. Annagade 28, 1., 5400 Bogense</v>
      </c>
      <c r="B670">
        <v>5443236</v>
      </c>
    </row>
    <row r="671" spans="1:2" x14ac:dyDescent="0.25">
      <c r="A671" t="str">
        <v>Sct. Annagade 28, kl., 5400 Bogense</v>
      </c>
      <c r="B671">
        <v>5443236</v>
      </c>
    </row>
    <row r="672" spans="1:2" x14ac:dyDescent="0.25">
      <c r="A672" t="str">
        <v>Sct. Annagade 28, st., 5400 Bogense</v>
      </c>
      <c r="B672">
        <v>5443236</v>
      </c>
    </row>
    <row r="673" spans="1:2" x14ac:dyDescent="0.25">
      <c r="A673" t="str">
        <v>Østergade 19, 5400 Bogense</v>
      </c>
      <c r="B673">
        <v>5443237</v>
      </c>
    </row>
    <row r="674" spans="1:2" x14ac:dyDescent="0.25">
      <c r="A674" t="str">
        <v>Østergade 19, 5400 Bogense</v>
      </c>
      <c r="B674">
        <v>5443237</v>
      </c>
    </row>
    <row r="675" spans="1:2" x14ac:dyDescent="0.25">
      <c r="A675" t="str">
        <v>Østergade 19, 5400 Bogense</v>
      </c>
      <c r="B675">
        <v>5443237</v>
      </c>
    </row>
    <row r="676" spans="1:2" x14ac:dyDescent="0.25">
      <c r="A676" t="str">
        <v>Østergade 19, 5400 Bogense</v>
      </c>
      <c r="B676">
        <v>5443237</v>
      </c>
    </row>
    <row r="677" spans="1:2" x14ac:dyDescent="0.25">
      <c r="A677" t="str">
        <v>Østergade 19, 5400 Bogense</v>
      </c>
      <c r="B677">
        <v>5443237</v>
      </c>
    </row>
    <row r="678" spans="1:2" x14ac:dyDescent="0.25">
      <c r="A678" t="str">
        <v>Østergade 19, 5400 Bogense</v>
      </c>
      <c r="B678">
        <v>5443237</v>
      </c>
    </row>
    <row r="679" spans="1:2" x14ac:dyDescent="0.25">
      <c r="A679" t="str">
        <v>Østergade 19A, 5400 Bogense</v>
      </c>
      <c r="B679">
        <v>5443237</v>
      </c>
    </row>
    <row r="680" spans="1:2" x14ac:dyDescent="0.25">
      <c r="A680" t="str">
        <v>Østergade 19B, 1., 5400 Bogense</v>
      </c>
      <c r="B680">
        <v>5443237</v>
      </c>
    </row>
    <row r="681" spans="1:2" x14ac:dyDescent="0.25">
      <c r="A681" t="str">
        <v>Østergade 19B, st., 5400 Bogense</v>
      </c>
      <c r="B681">
        <v>5443237</v>
      </c>
    </row>
    <row r="682" spans="1:2" x14ac:dyDescent="0.25">
      <c r="A682" t="str">
        <v>Østergade 19C, st., 5400 Bogense</v>
      </c>
      <c r="B682">
        <v>5443237</v>
      </c>
    </row>
    <row r="683" spans="1:2" x14ac:dyDescent="0.25">
      <c r="A683" t="str">
        <v>Sct. Annagade 23, 5400 Bogense</v>
      </c>
      <c r="B683">
        <v>5443238</v>
      </c>
    </row>
    <row r="684" spans="1:2" x14ac:dyDescent="0.25">
      <c r="A684" t="str">
        <v>Teglgårdsvej 16, 5400 Bogense</v>
      </c>
      <c r="B684">
        <v>5443239</v>
      </c>
    </row>
    <row r="685" spans="1:2" x14ac:dyDescent="0.25">
      <c r="A685" t="str">
        <v>Sct. Annagade 21, 5400 Bogense</v>
      </c>
      <c r="B685">
        <v>5443240</v>
      </c>
    </row>
    <row r="686" spans="1:2" x14ac:dyDescent="0.25">
      <c r="A686" t="str">
        <v>Sct. Annagade 19, 5400 Bogense</v>
      </c>
      <c r="B686">
        <v>5443241</v>
      </c>
    </row>
    <row r="687" spans="1:2" x14ac:dyDescent="0.25">
      <c r="A687" t="str">
        <v>Sct. Annagade 17, 5400 Bogense</v>
      </c>
      <c r="B687">
        <v>5443242</v>
      </c>
    </row>
    <row r="688" spans="1:2" x14ac:dyDescent="0.25">
      <c r="A688" t="str">
        <v>Teglgårdsvej 12, 5400 Bogense</v>
      </c>
      <c r="B688">
        <v>5443243</v>
      </c>
    </row>
    <row r="689" spans="1:2" x14ac:dyDescent="0.25">
      <c r="A689" t="str">
        <v>Sct. Annagade 15A, 5400 Bogense</v>
      </c>
      <c r="B689">
        <v>286832</v>
      </c>
    </row>
    <row r="690" spans="1:2" x14ac:dyDescent="0.25">
      <c r="A690" t="str">
        <v>Sct. Annagade 15C, 5400 Bogense</v>
      </c>
      <c r="B690">
        <v>286833</v>
      </c>
    </row>
    <row r="691" spans="1:2" x14ac:dyDescent="0.25">
      <c r="A691" t="str">
        <v>Teglgårdsvej 10C, 5400 Bogense</v>
      </c>
      <c r="B691">
        <v>286834</v>
      </c>
    </row>
    <row r="692" spans="1:2" x14ac:dyDescent="0.25">
      <c r="A692" t="str">
        <v>Teglgårdsvej 10B, 5400 Bogense</v>
      </c>
      <c r="B692">
        <v>286835</v>
      </c>
    </row>
    <row r="693" spans="1:2" x14ac:dyDescent="0.25">
      <c r="A693" t="str">
        <v>Teglgårdsvej 10A, 5400 Bogense</v>
      </c>
      <c r="B693">
        <v>286836</v>
      </c>
    </row>
    <row r="694" spans="1:2" x14ac:dyDescent="0.25">
      <c r="A694" t="str">
        <v>Sct. Annagade 15B, 5400 Bogense</v>
      </c>
      <c r="B694">
        <v>286837</v>
      </c>
    </row>
    <row r="695" spans="1:2" x14ac:dyDescent="0.25">
      <c r="A695" t="str">
        <v>Sct. Annagade 13, 5400 Bogense</v>
      </c>
      <c r="B695">
        <v>5443245</v>
      </c>
    </row>
    <row r="696" spans="1:2" x14ac:dyDescent="0.25">
      <c r="A696" t="str">
        <v>Teglgårdsvej 8, 5400 Bogense</v>
      </c>
      <c r="B696">
        <v>5443246</v>
      </c>
    </row>
    <row r="697" spans="1:2" x14ac:dyDescent="0.25">
      <c r="A697" t="str">
        <v>Sct. Annagade 11, 5400 Bogense</v>
      </c>
      <c r="B697">
        <v>5443247</v>
      </c>
    </row>
    <row r="698" spans="1:2" x14ac:dyDescent="0.25">
      <c r="A698" t="str">
        <v>Teglgårdsvej 8, 5400 Bogense</v>
      </c>
      <c r="B698">
        <v>5443248</v>
      </c>
    </row>
    <row r="699" spans="1:2" x14ac:dyDescent="0.25">
      <c r="A699" t="str">
        <v>Sct. Annagade 9, 5400 Bogense</v>
      </c>
      <c r="B699">
        <v>5443250</v>
      </c>
    </row>
    <row r="700" spans="1:2" x14ac:dyDescent="0.25">
      <c r="A700" t="str">
        <v>Teglgårdsvej 6, 5400 Bogense</v>
      </c>
      <c r="B700">
        <v>5443252</v>
      </c>
    </row>
    <row r="701" spans="1:2" x14ac:dyDescent="0.25">
      <c r="A701" t="str">
        <v>Sct. Annagade 7, 5400 Bogense</v>
      </c>
      <c r="B701">
        <v>5443253</v>
      </c>
    </row>
    <row r="702" spans="1:2" x14ac:dyDescent="0.25">
      <c r="A702" t="str">
        <v>Sct. Annagade 5, 5400 Bogense</v>
      </c>
      <c r="B702">
        <v>5443254</v>
      </c>
    </row>
    <row r="703" spans="1:2" x14ac:dyDescent="0.25">
      <c r="A703" t="str">
        <v>Sct. Annagade 3, 5400 Bogense</v>
      </c>
      <c r="B703">
        <v>5443255</v>
      </c>
    </row>
    <row r="704" spans="1:2" x14ac:dyDescent="0.25">
      <c r="A704" t="str">
        <v>Teglgårdsvej 4, 5400 Bogense</v>
      </c>
      <c r="B704">
        <v>5443256</v>
      </c>
    </row>
    <row r="705" spans="1:2" x14ac:dyDescent="0.25">
      <c r="A705" t="str">
        <v>Sct. Annagade 1A, 1. th, 5400 Bogense</v>
      </c>
      <c r="B705">
        <v>5443257</v>
      </c>
    </row>
    <row r="706" spans="1:2" x14ac:dyDescent="0.25">
      <c r="A706" t="str">
        <v>Sct. Annagade 1A, 1. tv, 5400 Bogense</v>
      </c>
      <c r="B706">
        <v>5443257</v>
      </c>
    </row>
    <row r="707" spans="1:2" x14ac:dyDescent="0.25">
      <c r="A707" t="str">
        <v>Sct. Annagade 1A, 2. th, 5400 Bogense</v>
      </c>
      <c r="B707">
        <v>5443257</v>
      </c>
    </row>
    <row r="708" spans="1:2" x14ac:dyDescent="0.25">
      <c r="A708" t="str">
        <v>Sct. Annagade 1A, 2. tv, 5400 Bogense</v>
      </c>
      <c r="B708">
        <v>5443257</v>
      </c>
    </row>
    <row r="709" spans="1:2" x14ac:dyDescent="0.25">
      <c r="A709" t="str">
        <v>Sct. Annagade 1A, st. th, 5400 Bogense</v>
      </c>
      <c r="B709">
        <v>5443257</v>
      </c>
    </row>
    <row r="710" spans="1:2" x14ac:dyDescent="0.25">
      <c r="A710" t="str">
        <v>Sct. Annagade 1A, st. tv, 5400 Bogense</v>
      </c>
      <c r="B710">
        <v>5443257</v>
      </c>
    </row>
    <row r="711" spans="1:2" x14ac:dyDescent="0.25">
      <c r="A711" t="str">
        <v>Sct. Annagade 1B, 5400 Bogense</v>
      </c>
      <c r="B711">
        <v>5443257</v>
      </c>
    </row>
    <row r="712" spans="1:2" x14ac:dyDescent="0.25">
      <c r="A712" t="str">
        <v>Teglgårdsvej 2, 5400 Bogense</v>
      </c>
      <c r="B712">
        <v>5443258</v>
      </c>
    </row>
    <row r="713" spans="1:2" x14ac:dyDescent="0.25">
      <c r="A713" t="str">
        <v>Torvegade 16, 1., 5400 Bogense</v>
      </c>
      <c r="B713">
        <v>5443259</v>
      </c>
    </row>
    <row r="714" spans="1:2" x14ac:dyDescent="0.25">
      <c r="A714" t="str">
        <v>Torvegade 16, 5400 Bogense</v>
      </c>
      <c r="B714">
        <v>5443259</v>
      </c>
    </row>
    <row r="715" spans="1:2" x14ac:dyDescent="0.25">
      <c r="A715" t="str">
        <v>Torvegade 16, 5400 Bogense</v>
      </c>
      <c r="B715">
        <v>5443259</v>
      </c>
    </row>
    <row r="716" spans="1:2" x14ac:dyDescent="0.25">
      <c r="A716" t="str">
        <v>Torvegade 12A, 5400 Bogense</v>
      </c>
      <c r="B716">
        <v>5443261</v>
      </c>
    </row>
    <row r="717" spans="1:2" x14ac:dyDescent="0.25">
      <c r="A717" t="str">
        <v>Torvegade 12B, st., 5400 Bogense</v>
      </c>
      <c r="B717">
        <v>5443261</v>
      </c>
    </row>
    <row r="718" spans="1:2" x14ac:dyDescent="0.25">
      <c r="A718" t="str">
        <v>Torvegade 10, 5400 Bogense</v>
      </c>
      <c r="B718">
        <v>5443262</v>
      </c>
    </row>
    <row r="719" spans="1:2" x14ac:dyDescent="0.25">
      <c r="A719" t="str">
        <v>Torvegade 6, 5400 Bogense</v>
      </c>
      <c r="B719">
        <v>5443264</v>
      </c>
    </row>
    <row r="720" spans="1:2" x14ac:dyDescent="0.25">
      <c r="A720" t="str">
        <v>Torvegade 4, 5400 Bogense</v>
      </c>
      <c r="B720">
        <v>5443265</v>
      </c>
    </row>
    <row r="721" spans="1:2" x14ac:dyDescent="0.25">
      <c r="A721" t="str">
        <v>Torvegade 2, 5400 Bogense</v>
      </c>
      <c r="B721">
        <v>5443266</v>
      </c>
    </row>
    <row r="722" spans="1:2" x14ac:dyDescent="0.25">
      <c r="A722" t="str">
        <v>Adelgade 55A, 5400 Bogense</v>
      </c>
      <c r="B722">
        <v>5443267</v>
      </c>
    </row>
    <row r="723" spans="1:2" x14ac:dyDescent="0.25">
      <c r="A723" t="str">
        <v>Adelgade 55B, 5400 Bogense</v>
      </c>
      <c r="B723">
        <v>5443267</v>
      </c>
    </row>
    <row r="724" spans="1:2" x14ac:dyDescent="0.25">
      <c r="A724" t="str">
        <v>Adelgade 57A, 5400 Bogense</v>
      </c>
      <c r="B724">
        <v>5443268</v>
      </c>
    </row>
    <row r="725" spans="1:2" x14ac:dyDescent="0.25">
      <c r="A725" t="str">
        <v>Adelgade 57B, 5400 Bogense</v>
      </c>
      <c r="B725">
        <v>5443268</v>
      </c>
    </row>
    <row r="726" spans="1:2" x14ac:dyDescent="0.25">
      <c r="A726" t="str">
        <v>Adelgade 57C, 1., 5400 Bogense</v>
      </c>
      <c r="B726">
        <v>5443268</v>
      </c>
    </row>
    <row r="727" spans="1:2" x14ac:dyDescent="0.25">
      <c r="A727" t="str">
        <v>Adelgade 57C, st., 5400 Bogense</v>
      </c>
      <c r="B727">
        <v>5443268</v>
      </c>
    </row>
    <row r="728" spans="1:2" x14ac:dyDescent="0.25">
      <c r="A728" t="str">
        <v>Adelgade 59, 1. th, 5400 Bogense</v>
      </c>
      <c r="B728">
        <v>5443269</v>
      </c>
    </row>
    <row r="729" spans="1:2" x14ac:dyDescent="0.25">
      <c r="A729" t="str">
        <v>Adelgade 59, st., 5400 Bogense</v>
      </c>
      <c r="B729">
        <v>5443269</v>
      </c>
    </row>
    <row r="730" spans="1:2" x14ac:dyDescent="0.25">
      <c r="A730" t="str">
        <v>Adelgade 61, 1., 5400 Bogense</v>
      </c>
      <c r="B730">
        <v>5443270</v>
      </c>
    </row>
    <row r="731" spans="1:2" x14ac:dyDescent="0.25">
      <c r="A731" t="str">
        <v>Adelgade 61, st., 5400 Bogense</v>
      </c>
      <c r="B731">
        <v>5443270</v>
      </c>
    </row>
    <row r="732" spans="1:2" x14ac:dyDescent="0.25">
      <c r="A732" t="str">
        <v>Adelgade 63, 1., 5400 Bogense</v>
      </c>
      <c r="B732">
        <v>5443272</v>
      </c>
    </row>
    <row r="733" spans="1:2" x14ac:dyDescent="0.25">
      <c r="A733" t="str">
        <v>Adelgade 63, st., 5400 Bogense</v>
      </c>
      <c r="B733">
        <v>5443272</v>
      </c>
    </row>
    <row r="734" spans="1:2" x14ac:dyDescent="0.25">
      <c r="A734" t="str">
        <v>Adelgade 65A, 1. th, 5400 Bogense</v>
      </c>
      <c r="B734">
        <v>5443273</v>
      </c>
    </row>
    <row r="735" spans="1:2" x14ac:dyDescent="0.25">
      <c r="A735" t="str">
        <v>Adelgade 65A, 1. tv, 5400 Bogense</v>
      </c>
      <c r="B735">
        <v>5443273</v>
      </c>
    </row>
    <row r="736" spans="1:2" x14ac:dyDescent="0.25">
      <c r="A736" t="str">
        <v>Adelgade 65A, st., 5400 Bogense</v>
      </c>
      <c r="B736">
        <v>5443273</v>
      </c>
    </row>
    <row r="737" spans="1:2" x14ac:dyDescent="0.25">
      <c r="A737" t="str">
        <v>Adelgade 65B, st., 5400 Bogense</v>
      </c>
      <c r="B737">
        <v>5443273</v>
      </c>
    </row>
    <row r="738" spans="1:2" x14ac:dyDescent="0.25">
      <c r="A738" t="str">
        <v>Rådhusstræde 1A, 5400 Bogense</v>
      </c>
      <c r="B738">
        <v>5443273</v>
      </c>
    </row>
    <row r="739" spans="1:2" x14ac:dyDescent="0.25">
      <c r="A739" t="str">
        <v>Rådhusstræde 1B, 5400 Bogense</v>
      </c>
      <c r="B739">
        <v>5443273</v>
      </c>
    </row>
    <row r="740" spans="1:2" x14ac:dyDescent="0.25">
      <c r="A740" t="str">
        <v>Rådhusstræde 3A, 5400 Bogense</v>
      </c>
      <c r="B740">
        <v>5443273</v>
      </c>
    </row>
    <row r="741" spans="1:2" x14ac:dyDescent="0.25">
      <c r="A741" t="str">
        <v>Rådhusstræde 3B, 5400 Bogense</v>
      </c>
      <c r="B741">
        <v>5443273</v>
      </c>
    </row>
    <row r="742" spans="1:2" x14ac:dyDescent="0.25">
      <c r="A742" t="str">
        <v>Rådhusstræde 5, 5400 Bogense</v>
      </c>
      <c r="B742">
        <v>5443276</v>
      </c>
    </row>
    <row r="743" spans="1:2" x14ac:dyDescent="0.25">
      <c r="A743" t="str">
        <v>Sct. Annagade 4, 5400 Bogense</v>
      </c>
      <c r="B743">
        <v>5443278</v>
      </c>
    </row>
    <row r="744" spans="1:2" x14ac:dyDescent="0.25">
      <c r="A744">
        <v>0</v>
      </c>
      <c r="B744">
        <v>5443279</v>
      </c>
    </row>
    <row r="745" spans="1:2" x14ac:dyDescent="0.25">
      <c r="A745" t="str">
        <v>Sct. Annagade 2C, 5400 Bogense</v>
      </c>
      <c r="B745">
        <v>5443281</v>
      </c>
    </row>
    <row r="746" spans="1:2" x14ac:dyDescent="0.25">
      <c r="A746" t="str">
        <v>Sct. Annagade 2A, 5400 Bogense</v>
      </c>
      <c r="B746">
        <v>5443282</v>
      </c>
    </row>
    <row r="747" spans="1:2" x14ac:dyDescent="0.25">
      <c r="A747" t="str">
        <v>Sct. Annagade 2B, 1. th, 5400 Bogense</v>
      </c>
      <c r="B747">
        <v>5443282</v>
      </c>
    </row>
    <row r="748" spans="1:2" x14ac:dyDescent="0.25">
      <c r="A748" t="str">
        <v>Sct. Annagade 2B, 1. tv, 5400 Bogense</v>
      </c>
      <c r="B748">
        <v>5443282</v>
      </c>
    </row>
    <row r="749" spans="1:2" x14ac:dyDescent="0.25">
      <c r="A749" t="str">
        <v>Sct. Annagade 2B, st., 5400 Bogense</v>
      </c>
      <c r="B749">
        <v>5443282</v>
      </c>
    </row>
    <row r="750" spans="1:2" x14ac:dyDescent="0.25">
      <c r="A750" t="str">
        <v>Torvet 1, st. th, 5400 Bogense</v>
      </c>
      <c r="B750">
        <v>5443283</v>
      </c>
    </row>
    <row r="751" spans="1:2" x14ac:dyDescent="0.25">
      <c r="A751" t="str">
        <v>Torvet 1, st. tv, 5400 Bogense</v>
      </c>
      <c r="B751">
        <v>5443283</v>
      </c>
    </row>
    <row r="752" spans="1:2" x14ac:dyDescent="0.25">
      <c r="A752" t="str">
        <v>Torvegade 9, 5400 Bogense</v>
      </c>
      <c r="B752">
        <v>5443284</v>
      </c>
    </row>
    <row r="753" spans="1:2" x14ac:dyDescent="0.25">
      <c r="A753" t="str">
        <v>Torvegade 7, 5400 Bogense</v>
      </c>
      <c r="B753">
        <v>5443285</v>
      </c>
    </row>
    <row r="754" spans="1:2" x14ac:dyDescent="0.25">
      <c r="A754" t="str">
        <v>Torvegade 7, 5400 Bogense</v>
      </c>
      <c r="B754">
        <v>5443285</v>
      </c>
    </row>
    <row r="755" spans="1:2" x14ac:dyDescent="0.25">
      <c r="A755" t="str">
        <v>Adelgade 45, 5400 Bogense</v>
      </c>
      <c r="B755">
        <v>5443290</v>
      </c>
    </row>
    <row r="756" spans="1:2" x14ac:dyDescent="0.25">
      <c r="A756" t="str">
        <v>Adelgade 49, 5400 Bogense</v>
      </c>
      <c r="B756">
        <v>5443290</v>
      </c>
    </row>
    <row r="757" spans="1:2" x14ac:dyDescent="0.25">
      <c r="A757" t="str">
        <v>Adelgade 49, 5400 Bogense</v>
      </c>
      <c r="B757">
        <v>5443290</v>
      </c>
    </row>
    <row r="758" spans="1:2" x14ac:dyDescent="0.25">
      <c r="A758" t="str">
        <v>Torvegade 5, 5400 Bogense</v>
      </c>
      <c r="B758">
        <v>5443291</v>
      </c>
    </row>
    <row r="759" spans="1:2" x14ac:dyDescent="0.25">
      <c r="A759" t="str">
        <v>Adelgade 43, 5400 Bogense</v>
      </c>
      <c r="B759">
        <v>5443297</v>
      </c>
    </row>
    <row r="760" spans="1:2" x14ac:dyDescent="0.25">
      <c r="A760" t="str">
        <v>Adelgade 41, 5400 Bogense</v>
      </c>
      <c r="B760">
        <v>5443299</v>
      </c>
    </row>
    <row r="761" spans="1:2" x14ac:dyDescent="0.25">
      <c r="A761" t="str">
        <v>Adelgade 41, 5400 Bogense</v>
      </c>
      <c r="B761">
        <v>5443299</v>
      </c>
    </row>
    <row r="762" spans="1:2" x14ac:dyDescent="0.25">
      <c r="A762" t="str">
        <v>Adelgade 39, 5400 Bogense</v>
      </c>
      <c r="B762">
        <v>5443300</v>
      </c>
    </row>
    <row r="763" spans="1:2" x14ac:dyDescent="0.25">
      <c r="A763" t="str">
        <v>Adelgade 37, 5400 Bogense</v>
      </c>
      <c r="B763">
        <v>5443301</v>
      </c>
    </row>
    <row r="764" spans="1:2" x14ac:dyDescent="0.25">
      <c r="A764" t="str">
        <v>Adelgade 35, 5400 Bogense</v>
      </c>
      <c r="B764">
        <v>5443302</v>
      </c>
    </row>
    <row r="765" spans="1:2" x14ac:dyDescent="0.25">
      <c r="A765" t="str">
        <v>Adelgade 33, 5400 Bogense</v>
      </c>
      <c r="B765">
        <v>5443303</v>
      </c>
    </row>
    <row r="766" spans="1:2" x14ac:dyDescent="0.25">
      <c r="A766" t="str">
        <v>Adelgade 31, 5400 Bogense</v>
      </c>
      <c r="B766">
        <v>5443304</v>
      </c>
    </row>
    <row r="767" spans="1:2" x14ac:dyDescent="0.25">
      <c r="A767" t="str">
        <v>Adelgade 29, 5400 Bogense</v>
      </c>
      <c r="B767">
        <v>5443305</v>
      </c>
    </row>
    <row r="768" spans="1:2" x14ac:dyDescent="0.25">
      <c r="A768" t="str">
        <v>Adelgade 27, 5400 Bogense</v>
      </c>
      <c r="B768">
        <v>5443306</v>
      </c>
    </row>
    <row r="769" spans="1:2" x14ac:dyDescent="0.25">
      <c r="A769" t="str">
        <v>Adelgade 25, 5400 Bogense</v>
      </c>
      <c r="B769">
        <v>5443307</v>
      </c>
    </row>
    <row r="770" spans="1:2" x14ac:dyDescent="0.25">
      <c r="A770" t="str">
        <v>Adelgade 23, 5400 Bogense</v>
      </c>
      <c r="B770">
        <v>5443308</v>
      </c>
    </row>
    <row r="771" spans="1:2" x14ac:dyDescent="0.25">
      <c r="A771" t="str">
        <v>Adelgade 21, 5400 Bogense</v>
      </c>
      <c r="B771">
        <v>5443309</v>
      </c>
    </row>
    <row r="772" spans="1:2" x14ac:dyDescent="0.25">
      <c r="A772" t="str">
        <v>Adelgade 19, 5400 Bogense</v>
      </c>
      <c r="B772">
        <v>5443310</v>
      </c>
    </row>
    <row r="773" spans="1:2" x14ac:dyDescent="0.25">
      <c r="A773" t="str">
        <v>Adelgade 17, 5400 Bogense</v>
      </c>
      <c r="B773">
        <v>5443312</v>
      </c>
    </row>
    <row r="774" spans="1:2" x14ac:dyDescent="0.25">
      <c r="A774" t="str">
        <v>Adelgade 15A, 5400 Bogense</v>
      </c>
      <c r="B774">
        <v>5443313</v>
      </c>
    </row>
    <row r="775" spans="1:2" x14ac:dyDescent="0.25">
      <c r="A775" t="str">
        <v>Adelgade 15B, 1., 5400 Bogense</v>
      </c>
      <c r="B775">
        <v>5443313</v>
      </c>
    </row>
    <row r="776" spans="1:2" x14ac:dyDescent="0.25">
      <c r="A776" t="str">
        <v>Adelgade 15B, st. th, 5400 Bogense</v>
      </c>
      <c r="B776">
        <v>5443313</v>
      </c>
    </row>
    <row r="777" spans="1:2" x14ac:dyDescent="0.25">
      <c r="A777" t="str">
        <v>Adelgade 15B, st. tv, 5400 Bogense</v>
      </c>
      <c r="B777">
        <v>5443313</v>
      </c>
    </row>
    <row r="778" spans="1:2" x14ac:dyDescent="0.25">
      <c r="A778" t="str">
        <v>Kirkestræde 14, 1. th, 5400 Bogense</v>
      </c>
      <c r="B778">
        <v>5443314</v>
      </c>
    </row>
    <row r="779" spans="1:2" x14ac:dyDescent="0.25">
      <c r="A779" t="str">
        <v>Kirkestræde 14, 1. tv, 5400 Bogense</v>
      </c>
      <c r="B779">
        <v>5443314</v>
      </c>
    </row>
    <row r="780" spans="1:2" x14ac:dyDescent="0.25">
      <c r="A780" t="str">
        <v>Kirkestræde 14, 2., 5400 Bogense</v>
      </c>
      <c r="B780">
        <v>5443314</v>
      </c>
    </row>
    <row r="781" spans="1:2" x14ac:dyDescent="0.25">
      <c r="A781" t="str">
        <v>Kirkestræde 14, st. th, 5400 Bogense</v>
      </c>
      <c r="B781">
        <v>5443314</v>
      </c>
    </row>
    <row r="782" spans="1:2" x14ac:dyDescent="0.25">
      <c r="A782" t="str">
        <v>Kirkestræde 14, st. tv, 5400 Bogense</v>
      </c>
      <c r="B782">
        <v>5443314</v>
      </c>
    </row>
    <row r="783" spans="1:2" x14ac:dyDescent="0.25">
      <c r="A783" t="str">
        <v>Kirkestræde 12A, 5400 Bogense</v>
      </c>
      <c r="B783">
        <v>5443315</v>
      </c>
    </row>
    <row r="784" spans="1:2" x14ac:dyDescent="0.25">
      <c r="A784" t="str">
        <v>Kirkestræde 12B, 5400 Bogense</v>
      </c>
      <c r="B784">
        <v>5443315</v>
      </c>
    </row>
    <row r="785" spans="1:2" x14ac:dyDescent="0.25">
      <c r="A785" t="str">
        <v>Kirkestræde 16, 5400 Bogense</v>
      </c>
      <c r="B785">
        <v>5443318</v>
      </c>
    </row>
    <row r="786" spans="1:2" x14ac:dyDescent="0.25">
      <c r="A786" t="str">
        <v>Kirkestræde 18, 5400 Bogense</v>
      </c>
      <c r="B786">
        <v>5443319</v>
      </c>
    </row>
    <row r="787" spans="1:2" x14ac:dyDescent="0.25">
      <c r="A787" t="str">
        <v>Kirkestræde 18, 5400 Bogense</v>
      </c>
      <c r="B787">
        <v>5443319</v>
      </c>
    </row>
    <row r="788" spans="1:2" x14ac:dyDescent="0.25">
      <c r="A788" t="str">
        <v>Kirkestræde 20, 5400 Bogense</v>
      </c>
      <c r="B788">
        <v>5443320</v>
      </c>
    </row>
    <row r="789" spans="1:2" x14ac:dyDescent="0.25">
      <c r="A789" t="str">
        <v>Kirkestræde 20, 5400 Bogense</v>
      </c>
      <c r="B789">
        <v>5443320</v>
      </c>
    </row>
    <row r="790" spans="1:2" x14ac:dyDescent="0.25">
      <c r="A790" t="str">
        <v>Kirkestræde 22, 5400 Bogense</v>
      </c>
      <c r="B790">
        <v>5443321</v>
      </c>
    </row>
    <row r="791" spans="1:2" x14ac:dyDescent="0.25">
      <c r="A791" t="str">
        <v>Kirkestræde 28, 5400 Bogense</v>
      </c>
      <c r="B791">
        <v>5443324</v>
      </c>
    </row>
    <row r="792" spans="1:2" x14ac:dyDescent="0.25">
      <c r="A792" t="str">
        <v>Kirkestræde 30, 5400 Bogense</v>
      </c>
      <c r="B792">
        <v>5443325</v>
      </c>
    </row>
    <row r="793" spans="1:2" x14ac:dyDescent="0.25">
      <c r="A793" t="str">
        <v>Kirkestræde 32, 5400 Bogense</v>
      </c>
      <c r="B793">
        <v>5443326</v>
      </c>
    </row>
    <row r="794" spans="1:2" x14ac:dyDescent="0.25">
      <c r="A794" t="str">
        <v>Kirkestræde 34, 5400 Bogense</v>
      </c>
      <c r="B794">
        <v>5443327</v>
      </c>
    </row>
    <row r="795" spans="1:2" x14ac:dyDescent="0.25">
      <c r="A795" t="str">
        <v>Kirkestræde 34, 5400 Bogense</v>
      </c>
      <c r="B795">
        <v>5443327</v>
      </c>
    </row>
    <row r="796" spans="1:2" x14ac:dyDescent="0.25">
      <c r="A796" t="str">
        <v>Kirkestræde 38, 5400 Bogense</v>
      </c>
      <c r="B796">
        <v>5443329</v>
      </c>
    </row>
    <row r="797" spans="1:2" x14ac:dyDescent="0.25">
      <c r="A797" t="str">
        <v>Torvet 25, 5400 Bogense</v>
      </c>
      <c r="B797">
        <v>5443330</v>
      </c>
    </row>
    <row r="798" spans="1:2" x14ac:dyDescent="0.25">
      <c r="A798" t="str">
        <v>Torvet 21, 5400 Bogense</v>
      </c>
      <c r="B798">
        <v>5443332</v>
      </c>
    </row>
    <row r="799" spans="1:2" x14ac:dyDescent="0.25">
      <c r="A799" t="str">
        <v>Torvet 21, 5400 Bogense</v>
      </c>
      <c r="B799">
        <v>5443332</v>
      </c>
    </row>
    <row r="800" spans="1:2" x14ac:dyDescent="0.25">
      <c r="A800" t="str">
        <v>Torvet 19, 5400 Bogense</v>
      </c>
      <c r="B800">
        <v>5443333</v>
      </c>
    </row>
    <row r="801" spans="1:2" x14ac:dyDescent="0.25">
      <c r="A801" t="str">
        <v>Torvet 17, 5400 Bogense</v>
      </c>
      <c r="B801">
        <v>5443334</v>
      </c>
    </row>
    <row r="802" spans="1:2" x14ac:dyDescent="0.25">
      <c r="A802" t="str">
        <v>Torvet 15, 5400 Bogense</v>
      </c>
      <c r="B802">
        <v>5443335</v>
      </c>
    </row>
    <row r="803" spans="1:2" x14ac:dyDescent="0.25">
      <c r="A803" t="str">
        <v>Torvet 13, 1. mf, 5400 Bogense</v>
      </c>
      <c r="B803">
        <v>5443336</v>
      </c>
    </row>
    <row r="804" spans="1:2" x14ac:dyDescent="0.25">
      <c r="A804" t="str">
        <v>Torvet 13, 1. th, 5400 Bogense</v>
      </c>
      <c r="B804">
        <v>5443336</v>
      </c>
    </row>
    <row r="805" spans="1:2" x14ac:dyDescent="0.25">
      <c r="A805" t="str">
        <v>Torvet 13, 1. tv, 5400 Bogense</v>
      </c>
      <c r="B805">
        <v>5443336</v>
      </c>
    </row>
    <row r="806" spans="1:2" x14ac:dyDescent="0.25">
      <c r="A806" t="str">
        <v>Torvet 13, 2. th, 5400 Bogense</v>
      </c>
      <c r="B806">
        <v>5443336</v>
      </c>
    </row>
    <row r="807" spans="1:2" x14ac:dyDescent="0.25">
      <c r="A807" t="str">
        <v>Torvet 13, 2. tv, 5400 Bogense</v>
      </c>
      <c r="B807">
        <v>5443336</v>
      </c>
    </row>
    <row r="808" spans="1:2" x14ac:dyDescent="0.25">
      <c r="A808" t="str">
        <v>Torvet 13, st. th, 5400 Bogense</v>
      </c>
      <c r="B808">
        <v>5443336</v>
      </c>
    </row>
    <row r="809" spans="1:2" x14ac:dyDescent="0.25">
      <c r="A809" t="str">
        <v>Torvet 13, st. tv, 5400 Bogense</v>
      </c>
      <c r="B809">
        <v>5443336</v>
      </c>
    </row>
    <row r="810" spans="1:2" x14ac:dyDescent="0.25">
      <c r="A810" t="str">
        <v>Torvet 11, 5400 Bogense</v>
      </c>
      <c r="B810">
        <v>5443337</v>
      </c>
    </row>
    <row r="811" spans="1:2" x14ac:dyDescent="0.25">
      <c r="A811" t="str">
        <v>Torvet 9, 5400 Bogense</v>
      </c>
      <c r="B811">
        <v>5443338</v>
      </c>
    </row>
    <row r="812" spans="1:2" x14ac:dyDescent="0.25">
      <c r="A812" t="str">
        <v>Torvet 7, 5400 Bogense</v>
      </c>
      <c r="B812">
        <v>5443339</v>
      </c>
    </row>
    <row r="813" spans="1:2" x14ac:dyDescent="0.25">
      <c r="A813" t="str">
        <v>Torvet 5, 5400 Bogense</v>
      </c>
      <c r="B813">
        <v>5443340</v>
      </c>
    </row>
    <row r="814" spans="1:2" x14ac:dyDescent="0.25">
      <c r="A814" t="str">
        <v>Torvet 3, 5400 Bogense</v>
      </c>
      <c r="B814">
        <v>5443341</v>
      </c>
    </row>
    <row r="815" spans="1:2" x14ac:dyDescent="0.25">
      <c r="A815" t="str">
        <v>Kirkestræde 6, 1., 5400 Bogense</v>
      </c>
      <c r="B815">
        <v>5443346</v>
      </c>
    </row>
    <row r="816" spans="1:2" x14ac:dyDescent="0.25">
      <c r="A816" t="str">
        <v>Kirkestræde 6, st., 5400 Bogense</v>
      </c>
      <c r="B816">
        <v>5443346</v>
      </c>
    </row>
    <row r="817" spans="1:2" x14ac:dyDescent="0.25">
      <c r="A817" t="str">
        <v>Kirkestræde 10A, st., 5400 Bogense</v>
      </c>
      <c r="B817">
        <v>286838</v>
      </c>
    </row>
    <row r="818" spans="1:2" x14ac:dyDescent="0.25">
      <c r="A818" t="str">
        <v>Kirkestræde 10B, st., 5400 Bogense</v>
      </c>
      <c r="B818">
        <v>286838</v>
      </c>
    </row>
    <row r="819" spans="1:2" x14ac:dyDescent="0.25">
      <c r="A819" t="str">
        <v>Kirkestræde 10C, 1., 5400 Bogense</v>
      </c>
      <c r="B819">
        <v>286838</v>
      </c>
    </row>
    <row r="820" spans="1:2" x14ac:dyDescent="0.25">
      <c r="A820" t="str">
        <v>Kirkestræde 10D, 1., 5400 Bogense</v>
      </c>
      <c r="B820">
        <v>286838</v>
      </c>
    </row>
    <row r="821" spans="1:2" x14ac:dyDescent="0.25">
      <c r="A821" t="str">
        <v>Kirkestræde 10E, 1., 5400 Bogense</v>
      </c>
      <c r="B821">
        <v>286838</v>
      </c>
    </row>
    <row r="822" spans="1:2" x14ac:dyDescent="0.25">
      <c r="A822" t="str">
        <v>Kirkestræde 10F, 1., 5400 Bogense</v>
      </c>
      <c r="B822">
        <v>286838</v>
      </c>
    </row>
    <row r="823" spans="1:2" x14ac:dyDescent="0.25">
      <c r="A823" t="str">
        <v>Kirkestræde 4A, 1. th, 5400 Bogense</v>
      </c>
      <c r="B823">
        <v>286838</v>
      </c>
    </row>
    <row r="824" spans="1:2" x14ac:dyDescent="0.25">
      <c r="A824" t="str">
        <v>Kirkestræde 4A, 1. tv, 5400 Bogense</v>
      </c>
      <c r="B824">
        <v>286838</v>
      </c>
    </row>
    <row r="825" spans="1:2" x14ac:dyDescent="0.25">
      <c r="A825" t="str">
        <v>Kirkestræde 4A, 2., 5400 Bogense</v>
      </c>
      <c r="B825">
        <v>286838</v>
      </c>
    </row>
    <row r="826" spans="1:2" x14ac:dyDescent="0.25">
      <c r="A826" t="str">
        <v>Kirkestræde 4B, 5400 Bogense</v>
      </c>
      <c r="B826">
        <v>286838</v>
      </c>
    </row>
    <row r="827" spans="1:2" x14ac:dyDescent="0.25">
      <c r="A827" t="str">
        <v>Adelgade 13, 5400 Bogense</v>
      </c>
      <c r="B827">
        <v>286839</v>
      </c>
    </row>
    <row r="828" spans="1:2" x14ac:dyDescent="0.25">
      <c r="A828" t="str">
        <v>Adelgade 1, 5400 Bogense</v>
      </c>
      <c r="B828">
        <v>5443348</v>
      </c>
    </row>
    <row r="829" spans="1:2" x14ac:dyDescent="0.25">
      <c r="A829" t="str">
        <v>Adelgade 3, 5400 Bogense</v>
      </c>
      <c r="B829">
        <v>5443349</v>
      </c>
    </row>
    <row r="830" spans="1:2" x14ac:dyDescent="0.25">
      <c r="A830" t="str">
        <v>Adelgade 5, 5400 Bogense</v>
      </c>
      <c r="B830">
        <v>5443350</v>
      </c>
    </row>
    <row r="831" spans="1:2" x14ac:dyDescent="0.25">
      <c r="A831" t="str">
        <v>Adelgade 7, 5400 Bogense</v>
      </c>
      <c r="B831">
        <v>5443351</v>
      </c>
    </row>
    <row r="832" spans="1:2" x14ac:dyDescent="0.25">
      <c r="A832" t="str">
        <v>Adelgade 11, 5400 Bogense</v>
      </c>
      <c r="B832">
        <v>5443354</v>
      </c>
    </row>
    <row r="833" spans="1:2" x14ac:dyDescent="0.25">
      <c r="A833" t="str">
        <v>Kirkestræde 3, 5400 Bogense</v>
      </c>
      <c r="B833">
        <v>5443355</v>
      </c>
    </row>
    <row r="834" spans="1:2" x14ac:dyDescent="0.25">
      <c r="A834" t="str">
        <v>Kirkestræde 7, 5400 Bogense</v>
      </c>
      <c r="B834">
        <v>5443359</v>
      </c>
    </row>
    <row r="835" spans="1:2" x14ac:dyDescent="0.25">
      <c r="A835" t="str">
        <v>Kirkestræde 9, 5400 Bogense</v>
      </c>
      <c r="B835">
        <v>5443360</v>
      </c>
    </row>
    <row r="836" spans="1:2" x14ac:dyDescent="0.25">
      <c r="A836" t="str">
        <v>Kirkestræde 9A, 5400 Bogense</v>
      </c>
      <c r="B836">
        <v>5443360</v>
      </c>
    </row>
    <row r="837" spans="1:2" x14ac:dyDescent="0.25">
      <c r="A837" t="str">
        <v>Kirkestræde 11, 5400 Bogense</v>
      </c>
      <c r="B837">
        <v>5443361</v>
      </c>
    </row>
    <row r="838" spans="1:2" x14ac:dyDescent="0.25">
      <c r="A838" t="str">
        <v>Kirkestræde 13, 5400 Bogense</v>
      </c>
      <c r="B838">
        <v>5443362</v>
      </c>
    </row>
    <row r="839" spans="1:2" x14ac:dyDescent="0.25">
      <c r="A839" t="str">
        <v>Kirkestræde 13, 5400 Bogense</v>
      </c>
      <c r="B839">
        <v>5443362</v>
      </c>
    </row>
    <row r="840" spans="1:2" x14ac:dyDescent="0.25">
      <c r="A840" t="str">
        <v>Kirkestræde 15, 5400 Bogense</v>
      </c>
      <c r="B840">
        <v>5443363</v>
      </c>
    </row>
    <row r="841" spans="1:2" x14ac:dyDescent="0.25">
      <c r="A841" t="str">
        <v>Kirkestræde 17, 5400 Bogense</v>
      </c>
      <c r="B841">
        <v>5443364</v>
      </c>
    </row>
    <row r="842" spans="1:2" x14ac:dyDescent="0.25">
      <c r="A842" t="str">
        <v>Kirkestræde 19, 5400 Bogense</v>
      </c>
      <c r="B842">
        <v>5443365</v>
      </c>
    </row>
    <row r="843" spans="1:2" x14ac:dyDescent="0.25">
      <c r="A843" t="str">
        <v>Kirkestræde 19, 5400 Bogense</v>
      </c>
      <c r="B843">
        <v>5443365</v>
      </c>
    </row>
    <row r="844" spans="1:2" x14ac:dyDescent="0.25">
      <c r="A844" t="str">
        <v>Kirkestræde 21, 5400 Bogense</v>
      </c>
      <c r="B844">
        <v>5443366</v>
      </c>
    </row>
    <row r="845" spans="1:2" x14ac:dyDescent="0.25">
      <c r="A845" t="str">
        <v>Kirkestræde 23, 5400 Bogense</v>
      </c>
      <c r="B845">
        <v>5443367</v>
      </c>
    </row>
    <row r="846" spans="1:2" x14ac:dyDescent="0.25">
      <c r="A846" t="str">
        <v>Kirkestræde 25, 5400 Bogense</v>
      </c>
      <c r="B846">
        <v>5443368</v>
      </c>
    </row>
    <row r="847" spans="1:2" x14ac:dyDescent="0.25">
      <c r="A847" t="str">
        <v>Kirkestræde 29, 5400 Bogense</v>
      </c>
      <c r="B847">
        <v>5443370</v>
      </c>
    </row>
    <row r="848" spans="1:2" x14ac:dyDescent="0.25">
      <c r="A848" t="str">
        <v>Kirkestræde 27, 5400 Bogense</v>
      </c>
      <c r="B848">
        <v>5443371</v>
      </c>
    </row>
    <row r="849" spans="1:2" x14ac:dyDescent="0.25">
      <c r="A849" t="str">
        <v>Kirkestræde 31, 5400 Bogense</v>
      </c>
      <c r="B849">
        <v>5443373</v>
      </c>
    </row>
    <row r="850" spans="1:2" x14ac:dyDescent="0.25">
      <c r="A850" t="str">
        <v>Kirkestræde 33, 5400 Bogense</v>
      </c>
      <c r="B850">
        <v>5443374</v>
      </c>
    </row>
    <row r="851" spans="1:2" x14ac:dyDescent="0.25">
      <c r="A851" t="str">
        <v>Kirkestræde 35, 5400 Bogense</v>
      </c>
      <c r="B851">
        <v>5443375</v>
      </c>
    </row>
    <row r="852" spans="1:2" x14ac:dyDescent="0.25">
      <c r="A852" t="str">
        <v>Kirkestræde 37, 5400 Bogense</v>
      </c>
      <c r="B852">
        <v>5443376</v>
      </c>
    </row>
    <row r="853" spans="1:2" x14ac:dyDescent="0.25">
      <c r="A853" t="str">
        <v>Torvet 27, 5400 Bogense</v>
      </c>
      <c r="B853">
        <v>5443377</v>
      </c>
    </row>
    <row r="854" spans="1:2" x14ac:dyDescent="0.25">
      <c r="A854" t="str">
        <v>Torvet 31, 5400 Bogense</v>
      </c>
      <c r="B854">
        <v>5443379</v>
      </c>
    </row>
    <row r="855" spans="1:2" x14ac:dyDescent="0.25">
      <c r="A855" t="str">
        <v>Torvet 37, 5400 Bogense</v>
      </c>
      <c r="B855">
        <v>5443383</v>
      </c>
    </row>
    <row r="856" spans="1:2" x14ac:dyDescent="0.25">
      <c r="A856">
        <v>0</v>
      </c>
      <c r="B856">
        <v>5443391</v>
      </c>
    </row>
    <row r="857" spans="1:2" x14ac:dyDescent="0.25">
      <c r="A857" t="str">
        <v>Torvet 30, 5400 Bogense</v>
      </c>
      <c r="B857">
        <v>5443392</v>
      </c>
    </row>
    <row r="858" spans="1:2" x14ac:dyDescent="0.25">
      <c r="A858" t="str">
        <v>Torvet 28, 5400 Bogense</v>
      </c>
      <c r="B858">
        <v>5443394</v>
      </c>
    </row>
    <row r="859" spans="1:2" x14ac:dyDescent="0.25">
      <c r="A859" t="str">
        <v>Torvet 26, 5400 Bogense</v>
      </c>
      <c r="B859">
        <v>5443396</v>
      </c>
    </row>
    <row r="860" spans="1:2" x14ac:dyDescent="0.25">
      <c r="A860" t="str">
        <v>Torvet 24, 5400 Bogense</v>
      </c>
      <c r="B860">
        <v>5443398</v>
      </c>
    </row>
    <row r="861" spans="1:2" x14ac:dyDescent="0.25">
      <c r="A861" t="str">
        <v>Torvet 22, 5400 Bogense</v>
      </c>
      <c r="B861">
        <v>5443401</v>
      </c>
    </row>
    <row r="862" spans="1:2" x14ac:dyDescent="0.25">
      <c r="A862" t="str">
        <v>Torvet 20, 5400 Bogense</v>
      </c>
      <c r="B862">
        <v>5443403</v>
      </c>
    </row>
    <row r="863" spans="1:2" x14ac:dyDescent="0.25">
      <c r="A863" t="str">
        <v>Torvet 14, 5400 Bogense</v>
      </c>
      <c r="B863">
        <v>5443409</v>
      </c>
    </row>
    <row r="864" spans="1:2" x14ac:dyDescent="0.25">
      <c r="A864" t="str">
        <v>Torvet 12, 5400 Bogense</v>
      </c>
      <c r="B864">
        <v>5443411</v>
      </c>
    </row>
    <row r="865" spans="1:2" x14ac:dyDescent="0.25">
      <c r="A865" t="str">
        <v>Torvet 8, 5400 Bogense</v>
      </c>
      <c r="B865">
        <v>5443418</v>
      </c>
    </row>
    <row r="866" spans="1:2" x14ac:dyDescent="0.25">
      <c r="A866" t="str">
        <v>Torvet 6, 5400 Bogense</v>
      </c>
      <c r="B866">
        <v>5443420</v>
      </c>
    </row>
    <row r="867" spans="1:2" x14ac:dyDescent="0.25">
      <c r="A867" t="str">
        <v>Torvet 4, 5400 Bogense</v>
      </c>
      <c r="B867">
        <v>5443423</v>
      </c>
    </row>
    <row r="868" spans="1:2" x14ac:dyDescent="0.25">
      <c r="A868" t="str">
        <v>Rolighedsvej 7, 5400 Bogense</v>
      </c>
      <c r="B868">
        <v>5443424</v>
      </c>
    </row>
    <row r="869" spans="1:2" x14ac:dyDescent="0.25">
      <c r="A869" t="str">
        <v>Torvet 2, 5400 Bogense</v>
      </c>
      <c r="B869">
        <v>5443427</v>
      </c>
    </row>
    <row r="870" spans="1:2" x14ac:dyDescent="0.25">
      <c r="A870" t="str">
        <v>Rolighedsvej 5, 5400 Bogense</v>
      </c>
      <c r="B870">
        <v>5443429</v>
      </c>
    </row>
    <row r="871" spans="1:2" x14ac:dyDescent="0.25">
      <c r="A871" t="str">
        <v>Teglgårdsvej 1, 5400 Bogense</v>
      </c>
      <c r="B871">
        <v>5443431</v>
      </c>
    </row>
    <row r="872" spans="1:2" x14ac:dyDescent="0.25">
      <c r="A872" t="str">
        <v>Rolighedsvej 8, 5400 Bogense</v>
      </c>
      <c r="B872">
        <v>5443432</v>
      </c>
    </row>
    <row r="873" spans="1:2" x14ac:dyDescent="0.25">
      <c r="A873" t="str">
        <v>Østergade 23, 5400 Bogense</v>
      </c>
      <c r="B873">
        <v>5443434</v>
      </c>
    </row>
    <row r="874" spans="1:2" x14ac:dyDescent="0.25">
      <c r="A874" t="str">
        <v>Æbeløgade 1, 5400 Bogense</v>
      </c>
      <c r="B874">
        <v>5443439</v>
      </c>
    </row>
    <row r="875" spans="1:2" x14ac:dyDescent="0.25">
      <c r="A875" t="str">
        <v>Teglgårdsvej 3, 5400 Bogense</v>
      </c>
      <c r="B875">
        <v>5443440</v>
      </c>
    </row>
    <row r="876" spans="1:2" x14ac:dyDescent="0.25">
      <c r="A876" t="str">
        <v>Æbeløgade 2A, 5400 Bogense</v>
      </c>
      <c r="B876">
        <v>5443441</v>
      </c>
    </row>
    <row r="877" spans="1:2" x14ac:dyDescent="0.25">
      <c r="A877" t="str">
        <v>Gyldensteensvej 1A, 1., 5400 Bogense</v>
      </c>
      <c r="B877">
        <v>5443443</v>
      </c>
    </row>
    <row r="878" spans="1:2" x14ac:dyDescent="0.25">
      <c r="A878" t="str">
        <v>Gyldensteensvej 1A, st., 5400 Bogense</v>
      </c>
      <c r="B878">
        <v>5443443</v>
      </c>
    </row>
    <row r="879" spans="1:2" x14ac:dyDescent="0.25">
      <c r="A879" t="str">
        <v>Gyldensteensvej 1B, st., 5400 Bogense</v>
      </c>
      <c r="B879">
        <v>5443443</v>
      </c>
    </row>
    <row r="880" spans="1:2" x14ac:dyDescent="0.25">
      <c r="A880" t="str">
        <v>Gyldensteensvej 1C, 1., 5400 Bogense</v>
      </c>
      <c r="B880">
        <v>5443443</v>
      </c>
    </row>
    <row r="881" spans="1:2" x14ac:dyDescent="0.25">
      <c r="A881" t="str">
        <v>Gyldensteensvej 1D, 5400 Bogense</v>
      </c>
      <c r="B881">
        <v>5443443</v>
      </c>
    </row>
    <row r="882" spans="1:2" x14ac:dyDescent="0.25">
      <c r="A882" t="str">
        <v>Gyldensteensvej 1E, 5400 Bogense</v>
      </c>
      <c r="B882">
        <v>5443443</v>
      </c>
    </row>
    <row r="883" spans="1:2" x14ac:dyDescent="0.25">
      <c r="A883" t="str">
        <v>Gyldensteensvej 1F, st. th, 5400 Bogense</v>
      </c>
      <c r="B883">
        <v>5443443</v>
      </c>
    </row>
    <row r="884" spans="1:2" x14ac:dyDescent="0.25">
      <c r="A884" t="str">
        <v>Gyldensteensvej 1F, st. tv, 5400 Bogense</v>
      </c>
      <c r="B884">
        <v>5443443</v>
      </c>
    </row>
    <row r="885" spans="1:2" x14ac:dyDescent="0.25">
      <c r="A885" t="str">
        <v>Gyldensteensvej 3, 5400 Bogense</v>
      </c>
      <c r="B885">
        <v>5443444</v>
      </c>
    </row>
    <row r="886" spans="1:2" x14ac:dyDescent="0.25">
      <c r="A886" t="str">
        <v>Gyldensteensvej 5, 5400 Bogense</v>
      </c>
      <c r="B886">
        <v>5443446</v>
      </c>
    </row>
    <row r="887" spans="1:2" x14ac:dyDescent="0.25">
      <c r="A887" t="str">
        <v>Gyldensteensvej 7, 5400 Bogense</v>
      </c>
      <c r="B887">
        <v>5443448</v>
      </c>
    </row>
    <row r="888" spans="1:2" x14ac:dyDescent="0.25">
      <c r="A888" t="str">
        <v>Gyldensteensvej 11, 5400 Bogense</v>
      </c>
      <c r="B888">
        <v>5443449</v>
      </c>
    </row>
    <row r="889" spans="1:2" x14ac:dyDescent="0.25">
      <c r="A889" t="str">
        <v>Gyldensteensvej 9, 5400 Bogense</v>
      </c>
      <c r="B889">
        <v>5443451</v>
      </c>
    </row>
    <row r="890" spans="1:2" x14ac:dyDescent="0.25">
      <c r="A890" t="str">
        <v>Gyldensteensvej 2, 5400 Bogense</v>
      </c>
      <c r="B890">
        <v>5443453</v>
      </c>
    </row>
    <row r="891" spans="1:2" x14ac:dyDescent="0.25">
      <c r="A891" t="str">
        <v>Gyldensteensvej 2, 5400 Bogense</v>
      </c>
      <c r="B891">
        <v>5443453</v>
      </c>
    </row>
    <row r="892" spans="1:2" x14ac:dyDescent="0.25">
      <c r="A892" t="str">
        <v>Skovvej 7A, 5400 Bogense</v>
      </c>
      <c r="B892">
        <v>5443459</v>
      </c>
    </row>
    <row r="893" spans="1:2" x14ac:dyDescent="0.25">
      <c r="A893" t="str">
        <v>Skovvej 7B, 5400 Bogense</v>
      </c>
      <c r="B893">
        <v>5443460</v>
      </c>
    </row>
    <row r="894" spans="1:2" x14ac:dyDescent="0.25">
      <c r="A894" t="str">
        <v>Fionaparken 5, 5400 Bogense</v>
      </c>
      <c r="B894">
        <v>5443463</v>
      </c>
    </row>
    <row r="895" spans="1:2" x14ac:dyDescent="0.25">
      <c r="A895" t="str">
        <v>Skovvej 9, 5400 Bogense</v>
      </c>
      <c r="B895">
        <v>5443464</v>
      </c>
    </row>
    <row r="896" spans="1:2" x14ac:dyDescent="0.25">
      <c r="A896" t="str">
        <v>Skovvej 11, 5400 Bogense</v>
      </c>
      <c r="B896">
        <v>5443466</v>
      </c>
    </row>
    <row r="897" spans="1:2" x14ac:dyDescent="0.25">
      <c r="A897" t="str">
        <v>Poppelvej 1, 5400 Bogense</v>
      </c>
      <c r="B897">
        <v>5443470</v>
      </c>
    </row>
    <row r="898" spans="1:2" x14ac:dyDescent="0.25">
      <c r="A898">
        <v>0</v>
      </c>
      <c r="B898">
        <v>5443476</v>
      </c>
    </row>
    <row r="899" spans="1:2" x14ac:dyDescent="0.25">
      <c r="A899" t="str">
        <v>Vestergade 3B, 5400 Bogense</v>
      </c>
      <c r="B899">
        <v>5443478</v>
      </c>
    </row>
    <row r="900" spans="1:2" x14ac:dyDescent="0.25">
      <c r="A900" t="str">
        <v>Kirkestræde 39, 5400 Bogense</v>
      </c>
      <c r="B900">
        <v>5443482</v>
      </c>
    </row>
    <row r="901" spans="1:2" x14ac:dyDescent="0.25">
      <c r="A901" t="str">
        <v>Vestre Havnevej 11A, 5400 Bogense</v>
      </c>
      <c r="B901">
        <v>5443483</v>
      </c>
    </row>
    <row r="902" spans="1:2" x14ac:dyDescent="0.25">
      <c r="A902">
        <v>0</v>
      </c>
      <c r="B902">
        <v>5443484</v>
      </c>
    </row>
    <row r="903" spans="1:2" x14ac:dyDescent="0.25">
      <c r="A903">
        <v>0</v>
      </c>
      <c r="B903">
        <v>5443485</v>
      </c>
    </row>
    <row r="904" spans="1:2" x14ac:dyDescent="0.25">
      <c r="A904" t="str">
        <v>Østre Havnevej 2P, 5400 Bogense</v>
      </c>
      <c r="B904">
        <v>5443487</v>
      </c>
    </row>
    <row r="905" spans="1:2" x14ac:dyDescent="0.25">
      <c r="A905">
        <v>0</v>
      </c>
      <c r="B905">
        <v>5443489</v>
      </c>
    </row>
    <row r="906" spans="1:2" x14ac:dyDescent="0.25">
      <c r="A906">
        <v>0</v>
      </c>
      <c r="B906">
        <v>5443490</v>
      </c>
    </row>
    <row r="907" spans="1:2" x14ac:dyDescent="0.25">
      <c r="A907">
        <v>0</v>
      </c>
      <c r="B907">
        <v>5443491</v>
      </c>
    </row>
    <row r="908" spans="1:2" x14ac:dyDescent="0.25">
      <c r="A908">
        <v>0</v>
      </c>
      <c r="B908">
        <v>5443492</v>
      </c>
    </row>
    <row r="909" spans="1:2" x14ac:dyDescent="0.25">
      <c r="A909">
        <v>0</v>
      </c>
      <c r="B909">
        <v>5443493</v>
      </c>
    </row>
    <row r="910" spans="1:2" x14ac:dyDescent="0.25">
      <c r="A910">
        <v>0</v>
      </c>
      <c r="B910">
        <v>5443495</v>
      </c>
    </row>
    <row r="911" spans="1:2" x14ac:dyDescent="0.25">
      <c r="A911">
        <v>0</v>
      </c>
      <c r="B911">
        <v>5443496</v>
      </c>
    </row>
    <row r="912" spans="1:2" x14ac:dyDescent="0.25">
      <c r="A912" t="str">
        <v>Vestergade 3P, 5400 Bogense</v>
      </c>
      <c r="B912">
        <v>5443497</v>
      </c>
    </row>
    <row r="913" spans="1:2" x14ac:dyDescent="0.25">
      <c r="A913">
        <v>0</v>
      </c>
      <c r="B913">
        <v>5443498</v>
      </c>
    </row>
    <row r="914" spans="1:2" x14ac:dyDescent="0.25">
      <c r="A914">
        <v>0</v>
      </c>
      <c r="B914">
        <v>5443499</v>
      </c>
    </row>
    <row r="915" spans="1:2" x14ac:dyDescent="0.25">
      <c r="A915">
        <v>0</v>
      </c>
      <c r="B915">
        <v>5443500</v>
      </c>
    </row>
    <row r="916" spans="1:2" x14ac:dyDescent="0.25">
      <c r="A916">
        <v>0</v>
      </c>
      <c r="B916">
        <v>5443501</v>
      </c>
    </row>
    <row r="917" spans="1:2" x14ac:dyDescent="0.25">
      <c r="A917">
        <v>0</v>
      </c>
      <c r="B917">
        <v>5443502</v>
      </c>
    </row>
    <row r="918" spans="1:2" x14ac:dyDescent="0.25">
      <c r="A918">
        <v>0</v>
      </c>
      <c r="B918">
        <v>5443503</v>
      </c>
    </row>
    <row r="919" spans="1:2" x14ac:dyDescent="0.25">
      <c r="A919">
        <v>0</v>
      </c>
      <c r="B919">
        <v>5443504</v>
      </c>
    </row>
    <row r="920" spans="1:2" x14ac:dyDescent="0.25">
      <c r="A920">
        <v>0</v>
      </c>
      <c r="B920">
        <v>5443505</v>
      </c>
    </row>
    <row r="921" spans="1:2" x14ac:dyDescent="0.25">
      <c r="A921">
        <v>0</v>
      </c>
      <c r="B921">
        <v>5443506</v>
      </c>
    </row>
    <row r="922" spans="1:2" x14ac:dyDescent="0.25">
      <c r="A922">
        <v>0</v>
      </c>
      <c r="B922">
        <v>5443507</v>
      </c>
    </row>
    <row r="923" spans="1:2" x14ac:dyDescent="0.25">
      <c r="A923">
        <v>0</v>
      </c>
      <c r="B923">
        <v>5443508</v>
      </c>
    </row>
    <row r="924" spans="1:2" x14ac:dyDescent="0.25">
      <c r="A924">
        <v>0</v>
      </c>
      <c r="B924">
        <v>5443509</v>
      </c>
    </row>
    <row r="925" spans="1:2" x14ac:dyDescent="0.25">
      <c r="A925">
        <v>0</v>
      </c>
      <c r="B925">
        <v>5443510</v>
      </c>
    </row>
    <row r="926" spans="1:2" x14ac:dyDescent="0.25">
      <c r="A926">
        <v>0</v>
      </c>
      <c r="B926">
        <v>5443511</v>
      </c>
    </row>
    <row r="927" spans="1:2" x14ac:dyDescent="0.25">
      <c r="A927">
        <v>0</v>
      </c>
      <c r="B927">
        <v>5443512</v>
      </c>
    </row>
    <row r="928" spans="1:2" x14ac:dyDescent="0.25">
      <c r="A928">
        <v>0</v>
      </c>
      <c r="B928">
        <v>5443513</v>
      </c>
    </row>
    <row r="929" spans="1:2" x14ac:dyDescent="0.25">
      <c r="A929">
        <v>0</v>
      </c>
      <c r="B929">
        <v>5443514</v>
      </c>
    </row>
    <row r="930" spans="1:2" x14ac:dyDescent="0.25">
      <c r="A930">
        <v>0</v>
      </c>
      <c r="B930">
        <v>5443515</v>
      </c>
    </row>
    <row r="931" spans="1:2" x14ac:dyDescent="0.25">
      <c r="A931" t="str">
        <v>Grønnevej 6, 5400 Bogense</v>
      </c>
      <c r="B931">
        <v>5443564</v>
      </c>
    </row>
    <row r="932" spans="1:2" x14ac:dyDescent="0.25">
      <c r="A932" t="str">
        <v>Æbeløgade 29, 5400 Bogense</v>
      </c>
      <c r="B932">
        <v>5443565</v>
      </c>
    </row>
    <row r="933" spans="1:2" x14ac:dyDescent="0.25">
      <c r="A933" t="str">
        <v>Æbeløgade 16, 5400 Bogense</v>
      </c>
      <c r="B933">
        <v>5443566</v>
      </c>
    </row>
    <row r="934" spans="1:2" x14ac:dyDescent="0.25">
      <c r="A934">
        <v>0</v>
      </c>
      <c r="B934">
        <v>5443567</v>
      </c>
    </row>
    <row r="935" spans="1:2" x14ac:dyDescent="0.25">
      <c r="A935" t="str">
        <v>Æbeløgade 31, 5400 Bogense</v>
      </c>
      <c r="B935">
        <v>5443568</v>
      </c>
    </row>
    <row r="936" spans="1:2" x14ac:dyDescent="0.25">
      <c r="A936" t="str">
        <v>Grønnevej 4, 5400 Bogense</v>
      </c>
      <c r="B936">
        <v>5443569</v>
      </c>
    </row>
    <row r="937" spans="1:2" x14ac:dyDescent="0.25">
      <c r="A937" t="str">
        <v>Æbeløgade 33, 5400 Bogense</v>
      </c>
      <c r="B937">
        <v>5443570</v>
      </c>
    </row>
    <row r="938" spans="1:2" x14ac:dyDescent="0.25">
      <c r="A938" t="str">
        <v>Æbeløgade 35, 5400 Bogense</v>
      </c>
      <c r="B938">
        <v>5443571</v>
      </c>
    </row>
    <row r="939" spans="1:2" x14ac:dyDescent="0.25">
      <c r="A939" t="str">
        <v>Æbeløgade 37, 5400 Bogense</v>
      </c>
      <c r="B939">
        <v>5443572</v>
      </c>
    </row>
    <row r="940" spans="1:2" x14ac:dyDescent="0.25">
      <c r="A940" t="str">
        <v>Æbeløgade 39, 5400 Bogense</v>
      </c>
      <c r="B940">
        <v>5443573</v>
      </c>
    </row>
    <row r="941" spans="1:2" x14ac:dyDescent="0.25">
      <c r="A941" t="str">
        <v>Grønnevej 2, 5400 Bogense</v>
      </c>
      <c r="B941">
        <v>5443574</v>
      </c>
    </row>
    <row r="942" spans="1:2" x14ac:dyDescent="0.25">
      <c r="A942" t="str">
        <v>Æbeløgade 41, 5400 Bogense</v>
      </c>
      <c r="B942">
        <v>5443575</v>
      </c>
    </row>
    <row r="943" spans="1:2" x14ac:dyDescent="0.25">
      <c r="A943" t="str">
        <v>Æbeløgade 43, 5400 Bogense</v>
      </c>
      <c r="B943">
        <v>5443576</v>
      </c>
    </row>
    <row r="944" spans="1:2" x14ac:dyDescent="0.25">
      <c r="A944" t="str">
        <v>Æbeløgade 45, 5400 Bogense</v>
      </c>
      <c r="B944">
        <v>5443577</v>
      </c>
    </row>
    <row r="945" spans="1:2" x14ac:dyDescent="0.25">
      <c r="A945" t="str">
        <v>Æbeløgade 18, 5400 Bogense</v>
      </c>
      <c r="B945">
        <v>5443578</v>
      </c>
    </row>
    <row r="946" spans="1:2" x14ac:dyDescent="0.25">
      <c r="A946" t="str">
        <v>Æbeløgade 18, 5400 Bogense</v>
      </c>
      <c r="B946">
        <v>5443579</v>
      </c>
    </row>
    <row r="947" spans="1:2" x14ac:dyDescent="0.25">
      <c r="A947" t="str">
        <v>Æbeløgade 41, 5400 Bogense</v>
      </c>
      <c r="B947">
        <v>5443580</v>
      </c>
    </row>
    <row r="948" spans="1:2" x14ac:dyDescent="0.25">
      <c r="A948" t="str">
        <v>Æbeløgade 20, 5400 Bogense</v>
      </c>
      <c r="B948">
        <v>5443581</v>
      </c>
    </row>
    <row r="949" spans="1:2" x14ac:dyDescent="0.25">
      <c r="A949" t="str">
        <v>Æbeløgade 24, 5400 Bogense</v>
      </c>
      <c r="B949">
        <v>5443582</v>
      </c>
    </row>
    <row r="950" spans="1:2" x14ac:dyDescent="0.25">
      <c r="A950" t="str">
        <v>Æbeløgade 47, 5400 Bogense</v>
      </c>
      <c r="B950">
        <v>5443583</v>
      </c>
    </row>
    <row r="951" spans="1:2" x14ac:dyDescent="0.25">
      <c r="A951" t="str">
        <v>Æbeløgade 49, 5400 Bogense</v>
      </c>
      <c r="B951">
        <v>5443584</v>
      </c>
    </row>
    <row r="952" spans="1:2" x14ac:dyDescent="0.25">
      <c r="A952" t="str">
        <v>Æbeløgade 51, 5400 Bogense</v>
      </c>
      <c r="B952">
        <v>5443585</v>
      </c>
    </row>
    <row r="953" spans="1:2" x14ac:dyDescent="0.25">
      <c r="A953" t="str">
        <v>Mågeøvej 1, 5400 Bogense</v>
      </c>
      <c r="B953">
        <v>5443586</v>
      </c>
    </row>
    <row r="954" spans="1:2" x14ac:dyDescent="0.25">
      <c r="A954" t="str">
        <v>Gyldensteensvej 39, 5400 Bogense</v>
      </c>
      <c r="B954">
        <v>5443587</v>
      </c>
    </row>
    <row r="955" spans="1:2" x14ac:dyDescent="0.25">
      <c r="A955" t="str">
        <v>Gyldensteensvej 41, 5400 Bogense</v>
      </c>
      <c r="B955">
        <v>5443588</v>
      </c>
    </row>
    <row r="956" spans="1:2" x14ac:dyDescent="0.25">
      <c r="A956" t="str">
        <v>Gyldensteensvej 43, 5400 Bogense</v>
      </c>
      <c r="B956">
        <v>5443589</v>
      </c>
    </row>
    <row r="957" spans="1:2" x14ac:dyDescent="0.25">
      <c r="A957" t="str">
        <v>Gyldensteensvej 45, 5400 Bogense</v>
      </c>
      <c r="B957">
        <v>5443590</v>
      </c>
    </row>
    <row r="958" spans="1:2" x14ac:dyDescent="0.25">
      <c r="A958" t="str">
        <v>Gyldensteensvej 47, 5400 Bogense</v>
      </c>
      <c r="B958">
        <v>5443591</v>
      </c>
    </row>
    <row r="959" spans="1:2" x14ac:dyDescent="0.25">
      <c r="A959" t="str">
        <v>Gyldensteensvej 49, 5400 Bogense</v>
      </c>
      <c r="B959">
        <v>5443592</v>
      </c>
    </row>
    <row r="960" spans="1:2" x14ac:dyDescent="0.25">
      <c r="A960" t="str">
        <v>Stegøvej 1, 5400 Bogense</v>
      </c>
      <c r="B960">
        <v>5443593</v>
      </c>
    </row>
    <row r="961" spans="1:2" x14ac:dyDescent="0.25">
      <c r="A961" t="str">
        <v>Stegøvej 3, 5400 Bogense</v>
      </c>
      <c r="B961">
        <v>5443594</v>
      </c>
    </row>
    <row r="962" spans="1:2" x14ac:dyDescent="0.25">
      <c r="A962" t="str">
        <v>Stegøvej 5, 5400 Bogense</v>
      </c>
      <c r="B962">
        <v>5443595</v>
      </c>
    </row>
    <row r="963" spans="1:2" x14ac:dyDescent="0.25">
      <c r="A963" t="str">
        <v>Stegøvej 7, 5400 Bogense</v>
      </c>
      <c r="B963">
        <v>5443596</v>
      </c>
    </row>
    <row r="964" spans="1:2" x14ac:dyDescent="0.25">
      <c r="A964" t="str">
        <v>Stegøvej 9, 5400 Bogense</v>
      </c>
      <c r="B964">
        <v>5443597</v>
      </c>
    </row>
    <row r="965" spans="1:2" x14ac:dyDescent="0.25">
      <c r="A965" t="str">
        <v>Stegøvej 11, 5400 Bogense</v>
      </c>
      <c r="B965">
        <v>5443598</v>
      </c>
    </row>
    <row r="966" spans="1:2" x14ac:dyDescent="0.25">
      <c r="A966" t="str">
        <v>Stegøvej 13, 5400 Bogense</v>
      </c>
      <c r="B966">
        <v>5443599</v>
      </c>
    </row>
    <row r="967" spans="1:2" x14ac:dyDescent="0.25">
      <c r="A967" t="str">
        <v>Stegøvej 15, 5400 Bogense</v>
      </c>
      <c r="B967">
        <v>5443600</v>
      </c>
    </row>
    <row r="968" spans="1:2" x14ac:dyDescent="0.25">
      <c r="A968" t="str">
        <v>Stegøvej 17, 5400 Bogense</v>
      </c>
      <c r="B968">
        <v>5443601</v>
      </c>
    </row>
    <row r="969" spans="1:2" x14ac:dyDescent="0.25">
      <c r="A969" t="str">
        <v>Mågeøvej 2, 5400 Bogense</v>
      </c>
      <c r="B969">
        <v>5443603</v>
      </c>
    </row>
    <row r="970" spans="1:2" x14ac:dyDescent="0.25">
      <c r="A970" t="str">
        <v>Mågeøvej 10, 5400 Bogense</v>
      </c>
      <c r="B970">
        <v>5443603</v>
      </c>
    </row>
    <row r="971" spans="1:2" x14ac:dyDescent="0.25">
      <c r="A971" t="str">
        <v>Mågeøvej 12, 5400 Bogense</v>
      </c>
      <c r="B971">
        <v>5443603</v>
      </c>
    </row>
    <row r="972" spans="1:2" x14ac:dyDescent="0.25">
      <c r="A972" t="str">
        <v>Mågeøvej 14, 5400 Bogense</v>
      </c>
      <c r="B972">
        <v>5443603</v>
      </c>
    </row>
    <row r="973" spans="1:2" x14ac:dyDescent="0.25">
      <c r="A973" t="str">
        <v>Mågeøvej 16, 5400 Bogense</v>
      </c>
      <c r="B973">
        <v>5443603</v>
      </c>
    </row>
    <row r="974" spans="1:2" x14ac:dyDescent="0.25">
      <c r="A974" t="str">
        <v>Mågeøvej 18, 5400 Bogense</v>
      </c>
      <c r="B974">
        <v>5443603</v>
      </c>
    </row>
    <row r="975" spans="1:2" x14ac:dyDescent="0.25">
      <c r="A975" t="str">
        <v>Mågeøvej 2, 5400 Bogense</v>
      </c>
      <c r="B975">
        <v>5443603</v>
      </c>
    </row>
    <row r="976" spans="1:2" x14ac:dyDescent="0.25">
      <c r="A976" t="str">
        <v>Mågeøvej 20, 5400 Bogense</v>
      </c>
      <c r="B976">
        <v>5443603</v>
      </c>
    </row>
    <row r="977" spans="1:2" x14ac:dyDescent="0.25">
      <c r="A977" t="str">
        <v>Mågeøvej 22, 5400 Bogense</v>
      </c>
      <c r="B977">
        <v>5443603</v>
      </c>
    </row>
    <row r="978" spans="1:2" x14ac:dyDescent="0.25">
      <c r="A978" t="str">
        <v>Mågeøvej 24, 5400 Bogense</v>
      </c>
      <c r="B978">
        <v>5443603</v>
      </c>
    </row>
    <row r="979" spans="1:2" x14ac:dyDescent="0.25">
      <c r="A979" t="str">
        <v>Mågeøvej 26, 5400 Bogense</v>
      </c>
      <c r="B979">
        <v>5443603</v>
      </c>
    </row>
    <row r="980" spans="1:2" x14ac:dyDescent="0.25">
      <c r="A980" t="str">
        <v>Mågeøvej 4, 5400 Bogense</v>
      </c>
      <c r="B980">
        <v>5443603</v>
      </c>
    </row>
    <row r="981" spans="1:2" x14ac:dyDescent="0.25">
      <c r="A981" t="str">
        <v>Mågeøvej 6, 5400 Bogense</v>
      </c>
      <c r="B981">
        <v>5443603</v>
      </c>
    </row>
    <row r="982" spans="1:2" x14ac:dyDescent="0.25">
      <c r="A982" t="str">
        <v>Mågeøvej 8, 5400 Bogense</v>
      </c>
      <c r="B982">
        <v>5443603</v>
      </c>
    </row>
    <row r="983" spans="1:2" x14ac:dyDescent="0.25">
      <c r="A983" t="str">
        <v>Æbeløgade 53, 5400 Bogense</v>
      </c>
      <c r="B983">
        <v>5443605</v>
      </c>
    </row>
    <row r="984" spans="1:2" x14ac:dyDescent="0.25">
      <c r="A984" t="str">
        <v>Æbeløgade 22, 5400 Bogense</v>
      </c>
      <c r="B984">
        <v>5443606</v>
      </c>
    </row>
    <row r="985" spans="1:2" x14ac:dyDescent="0.25">
      <c r="A985" t="str">
        <v>Mågeøvej 11, 5400 Bogense</v>
      </c>
      <c r="B985">
        <v>5443607</v>
      </c>
    </row>
    <row r="986" spans="1:2" x14ac:dyDescent="0.25">
      <c r="A986" t="str">
        <v>Mågeøvej 13, 5400 Bogense</v>
      </c>
      <c r="B986">
        <v>5443607</v>
      </c>
    </row>
    <row r="987" spans="1:2" x14ac:dyDescent="0.25">
      <c r="A987" t="str">
        <v>Mågeøvej 15, 5400 Bogense</v>
      </c>
      <c r="B987">
        <v>5443607</v>
      </c>
    </row>
    <row r="988" spans="1:2" x14ac:dyDescent="0.25">
      <c r="A988" t="str">
        <v>Mågeøvej 3, 5400 Bogense</v>
      </c>
      <c r="B988">
        <v>5443607</v>
      </c>
    </row>
    <row r="989" spans="1:2" x14ac:dyDescent="0.25">
      <c r="A989" t="str">
        <v>Mågeøvej 5, 5400 Bogense</v>
      </c>
      <c r="B989">
        <v>5443607</v>
      </c>
    </row>
    <row r="990" spans="1:2" x14ac:dyDescent="0.25">
      <c r="A990" t="str">
        <v>Mågeøvej 7, 5400 Bogense</v>
      </c>
      <c r="B990">
        <v>5443607</v>
      </c>
    </row>
    <row r="991" spans="1:2" x14ac:dyDescent="0.25">
      <c r="A991" t="str">
        <v>Mågeøvej 9, 5400 Bogense</v>
      </c>
      <c r="B991">
        <v>5443607</v>
      </c>
    </row>
    <row r="992" spans="1:2" x14ac:dyDescent="0.25">
      <c r="A992" t="str">
        <v>Æbeløgade 26, 5400 Bogense</v>
      </c>
      <c r="B992">
        <v>5443607</v>
      </c>
    </row>
    <row r="993" spans="1:2" x14ac:dyDescent="0.25">
      <c r="A993" t="str">
        <v>Stegøvej 21, 5400 Bogense</v>
      </c>
      <c r="B993">
        <v>5443608</v>
      </c>
    </row>
    <row r="994" spans="1:2" x14ac:dyDescent="0.25">
      <c r="A994" t="str">
        <v>Æbeløvænget 1, 5400 Bogense</v>
      </c>
      <c r="B994">
        <v>5443609</v>
      </c>
    </row>
    <row r="995" spans="1:2" x14ac:dyDescent="0.25">
      <c r="A995" t="str">
        <v>Æbeløvænget 3, 5400 Bogense</v>
      </c>
      <c r="B995">
        <v>5443610</v>
      </c>
    </row>
    <row r="996" spans="1:2" x14ac:dyDescent="0.25">
      <c r="A996" t="str">
        <v>Æbeløvænget 5, 5400 Bogense</v>
      </c>
      <c r="B996">
        <v>5443611</v>
      </c>
    </row>
    <row r="997" spans="1:2" x14ac:dyDescent="0.25">
      <c r="A997" t="str">
        <v>Æbeløvænget 7, 5400 Bogense</v>
      </c>
      <c r="B997">
        <v>5443612</v>
      </c>
    </row>
    <row r="998" spans="1:2" x14ac:dyDescent="0.25">
      <c r="A998" t="str">
        <v>Æbeløvænget 9, 5400 Bogense</v>
      </c>
      <c r="B998">
        <v>5443613</v>
      </c>
    </row>
    <row r="999" spans="1:2" x14ac:dyDescent="0.25">
      <c r="A999" t="str">
        <v>Æbeløvænget 11, 5400 Bogense</v>
      </c>
      <c r="B999">
        <v>5443614</v>
      </c>
    </row>
    <row r="1000" spans="1:2" x14ac:dyDescent="0.25">
      <c r="A1000" t="str">
        <v>Æbeløvænget 13, 5400 Bogense</v>
      </c>
      <c r="B1000">
        <v>5443615</v>
      </c>
    </row>
    <row r="1001" spans="1:2" x14ac:dyDescent="0.25">
      <c r="A1001" t="str">
        <v>Æbeløvænget 15, 5400 Bogense</v>
      </c>
      <c r="B1001">
        <v>5443616</v>
      </c>
    </row>
    <row r="1002" spans="1:2" x14ac:dyDescent="0.25">
      <c r="A1002" t="str">
        <v>Grønnevej 7, 5400 Bogense</v>
      </c>
      <c r="B1002">
        <v>5443630</v>
      </c>
    </row>
    <row r="1003" spans="1:2" x14ac:dyDescent="0.25">
      <c r="A1003" t="str">
        <v>Odensevej 69, 5400 Bogense</v>
      </c>
      <c r="B1003">
        <v>5443632</v>
      </c>
    </row>
    <row r="1004" spans="1:2" x14ac:dyDescent="0.25">
      <c r="A1004" t="str">
        <v>Odensevej 69, 5400 Bogense</v>
      </c>
      <c r="B1004">
        <v>5443632</v>
      </c>
    </row>
    <row r="1005" spans="1:2" x14ac:dyDescent="0.25">
      <c r="A1005" t="str">
        <v>Odensevej 69, 5400 Bogense</v>
      </c>
      <c r="B1005">
        <v>5443632</v>
      </c>
    </row>
    <row r="1006" spans="1:2" x14ac:dyDescent="0.25">
      <c r="A1006" t="str">
        <v>Odensevej 55, 5400 Bogense</v>
      </c>
      <c r="B1006">
        <v>5443635</v>
      </c>
    </row>
    <row r="1007" spans="1:2" x14ac:dyDescent="0.25">
      <c r="A1007" t="str">
        <v>Odensevej 57, 5400 Bogense</v>
      </c>
      <c r="B1007">
        <v>5443636</v>
      </c>
    </row>
    <row r="1008" spans="1:2" x14ac:dyDescent="0.25">
      <c r="A1008" t="str">
        <v>Odensevej 59, 5400 Bogense</v>
      </c>
      <c r="B1008">
        <v>5443637</v>
      </c>
    </row>
    <row r="1009" spans="1:2" x14ac:dyDescent="0.25">
      <c r="A1009" t="str">
        <v>Odensevej 61, 5400 Bogense</v>
      </c>
      <c r="B1009">
        <v>5443638</v>
      </c>
    </row>
    <row r="1010" spans="1:2" x14ac:dyDescent="0.25">
      <c r="A1010" t="str">
        <v>Odensevej 61, 1., 5400 Bogense</v>
      </c>
      <c r="B1010">
        <v>5443638</v>
      </c>
    </row>
    <row r="1011" spans="1:2" x14ac:dyDescent="0.25">
      <c r="A1011" t="str">
        <v>Odensevej 61, st., 5400 Bogense</v>
      </c>
      <c r="B1011">
        <v>5443638</v>
      </c>
    </row>
    <row r="1012" spans="1:2" x14ac:dyDescent="0.25">
      <c r="A1012" t="str">
        <v>Odensevej 71, 5400 Bogense</v>
      </c>
      <c r="B1012">
        <v>5443639</v>
      </c>
    </row>
    <row r="1013" spans="1:2" x14ac:dyDescent="0.25">
      <c r="A1013" t="str">
        <v>Odensevej 63, 5400 Bogense</v>
      </c>
      <c r="B1013">
        <v>5443640</v>
      </c>
    </row>
    <row r="1014" spans="1:2" x14ac:dyDescent="0.25">
      <c r="A1014" t="str">
        <v>Odensevej 63A, 5400 Bogense</v>
      </c>
      <c r="B1014">
        <v>5443641</v>
      </c>
    </row>
    <row r="1015" spans="1:2" x14ac:dyDescent="0.25">
      <c r="A1015" t="str">
        <v>Falkevej 8, 5400 Bogense</v>
      </c>
      <c r="B1015">
        <v>5443642</v>
      </c>
    </row>
    <row r="1016" spans="1:2" x14ac:dyDescent="0.25">
      <c r="A1016" t="str">
        <v>Odensevej 67, 5400 Bogense</v>
      </c>
      <c r="B1016">
        <v>5443643</v>
      </c>
    </row>
    <row r="1017" spans="1:2" x14ac:dyDescent="0.25">
      <c r="A1017" t="str">
        <v>Grønnevej 8, 1, 5400 Bogense</v>
      </c>
      <c r="B1017">
        <v>287225</v>
      </c>
    </row>
    <row r="1018" spans="1:2" x14ac:dyDescent="0.25">
      <c r="A1018" t="str">
        <v>Grønnevej 8, 10, 5400 Bogense</v>
      </c>
      <c r="B1018">
        <v>287226</v>
      </c>
    </row>
    <row r="1019" spans="1:2" x14ac:dyDescent="0.25">
      <c r="A1019" t="str">
        <v>Grønnevej 8, 11, 5400 Bogense</v>
      </c>
      <c r="B1019">
        <v>287227</v>
      </c>
    </row>
    <row r="1020" spans="1:2" x14ac:dyDescent="0.25">
      <c r="A1020" t="str">
        <v>Grønnevej 8, 12, 5400 Bogense</v>
      </c>
      <c r="B1020">
        <v>287228</v>
      </c>
    </row>
    <row r="1021" spans="1:2" x14ac:dyDescent="0.25">
      <c r="A1021" t="str">
        <v>Grønnevej 8, 13, 5400 Bogense</v>
      </c>
      <c r="B1021">
        <v>287229</v>
      </c>
    </row>
    <row r="1022" spans="1:2" x14ac:dyDescent="0.25">
      <c r="A1022" t="str">
        <v>Grønnevej 8, 14, 5400 Bogense</v>
      </c>
      <c r="B1022">
        <v>287230</v>
      </c>
    </row>
    <row r="1023" spans="1:2" x14ac:dyDescent="0.25">
      <c r="A1023" t="str">
        <v>Grønnevej 8, 15, 5400 Bogense</v>
      </c>
      <c r="B1023">
        <v>287231</v>
      </c>
    </row>
    <row r="1024" spans="1:2" x14ac:dyDescent="0.25">
      <c r="A1024" t="str">
        <v>Grønnevej 8, 16, 5400 Bogense</v>
      </c>
      <c r="B1024">
        <v>287232</v>
      </c>
    </row>
    <row r="1025" spans="1:2" x14ac:dyDescent="0.25">
      <c r="A1025" t="str">
        <v>Grønnevej 8, 17, 5400 Bogense</v>
      </c>
      <c r="B1025">
        <v>287233</v>
      </c>
    </row>
    <row r="1026" spans="1:2" x14ac:dyDescent="0.25">
      <c r="A1026" t="str">
        <v>Grønnevej 8, 18, 5400 Bogense</v>
      </c>
      <c r="B1026">
        <v>287234</v>
      </c>
    </row>
    <row r="1027" spans="1:2" x14ac:dyDescent="0.25">
      <c r="A1027" t="str">
        <v>Grønnevej 8, 19, 5400 Bogense</v>
      </c>
      <c r="B1027">
        <v>287235</v>
      </c>
    </row>
    <row r="1028" spans="1:2" x14ac:dyDescent="0.25">
      <c r="A1028" t="str">
        <v>Grønnevej 8, 2, 5400 Bogense</v>
      </c>
      <c r="B1028">
        <v>287236</v>
      </c>
    </row>
    <row r="1029" spans="1:2" x14ac:dyDescent="0.25">
      <c r="A1029" t="str">
        <v>Grønnevej 8, 20, 5400 Bogense</v>
      </c>
      <c r="B1029">
        <v>287237</v>
      </c>
    </row>
    <row r="1030" spans="1:2" x14ac:dyDescent="0.25">
      <c r="A1030" t="str">
        <v>Grønnevej 8, 21, 5400 Bogense</v>
      </c>
      <c r="B1030">
        <v>287238</v>
      </c>
    </row>
    <row r="1031" spans="1:2" x14ac:dyDescent="0.25">
      <c r="A1031" t="str">
        <v>Grønnevej 8, 22, 5400 Bogense</v>
      </c>
      <c r="B1031">
        <v>287239</v>
      </c>
    </row>
    <row r="1032" spans="1:2" x14ac:dyDescent="0.25">
      <c r="A1032" t="str">
        <v>Grønnevej 8, 23, 5400 Bogense</v>
      </c>
      <c r="B1032">
        <v>287240</v>
      </c>
    </row>
    <row r="1033" spans="1:2" x14ac:dyDescent="0.25">
      <c r="A1033" t="str">
        <v>Grønnevej 8, 24, 5400 Bogense</v>
      </c>
      <c r="B1033">
        <v>287241</v>
      </c>
    </row>
    <row r="1034" spans="1:2" x14ac:dyDescent="0.25">
      <c r="A1034" t="str">
        <v>Grønnevej 8, 25, 5400 Bogense</v>
      </c>
      <c r="B1034">
        <v>287242</v>
      </c>
    </row>
    <row r="1035" spans="1:2" x14ac:dyDescent="0.25">
      <c r="A1035" t="str">
        <v>Grønnevej 8, 26, 5400 Bogense</v>
      </c>
      <c r="B1035">
        <v>287243</v>
      </c>
    </row>
    <row r="1036" spans="1:2" x14ac:dyDescent="0.25">
      <c r="A1036" t="str">
        <v>Grønnevej 8, 27, 5400 Bogense</v>
      </c>
      <c r="B1036">
        <v>287244</v>
      </c>
    </row>
    <row r="1037" spans="1:2" x14ac:dyDescent="0.25">
      <c r="A1037" t="str">
        <v>Grønnevej 8, 28, 5400 Bogense</v>
      </c>
      <c r="B1037">
        <v>287245</v>
      </c>
    </row>
    <row r="1038" spans="1:2" x14ac:dyDescent="0.25">
      <c r="A1038" t="str">
        <v>Grønnevej 8, 29, 5400 Bogense</v>
      </c>
      <c r="B1038">
        <v>287246</v>
      </c>
    </row>
    <row r="1039" spans="1:2" x14ac:dyDescent="0.25">
      <c r="A1039" t="str">
        <v>Grønnevej 8, 3, 5400 Bogense</v>
      </c>
      <c r="B1039">
        <v>287247</v>
      </c>
    </row>
    <row r="1040" spans="1:2" x14ac:dyDescent="0.25">
      <c r="A1040" t="str">
        <v>Grønnevej 8, 30, 5400 Bogense</v>
      </c>
      <c r="B1040">
        <v>287248</v>
      </c>
    </row>
    <row r="1041" spans="1:2" x14ac:dyDescent="0.25">
      <c r="A1041" t="str">
        <v>Grønnevej 8, 31, 5400 Bogense</v>
      </c>
      <c r="B1041">
        <v>287249</v>
      </c>
    </row>
    <row r="1042" spans="1:2" x14ac:dyDescent="0.25">
      <c r="A1042" t="str">
        <v>Grønnevej 8, 32, 5400 Bogense</v>
      </c>
      <c r="B1042">
        <v>287250</v>
      </c>
    </row>
    <row r="1043" spans="1:2" x14ac:dyDescent="0.25">
      <c r="A1043" t="str">
        <v>Grønnevej 8, 33, 5400 Bogense</v>
      </c>
      <c r="B1043">
        <v>287251</v>
      </c>
    </row>
    <row r="1044" spans="1:2" x14ac:dyDescent="0.25">
      <c r="A1044" t="str">
        <v>Grønnevej 8, 34, 5400 Bogense</v>
      </c>
      <c r="B1044">
        <v>287252</v>
      </c>
    </row>
    <row r="1045" spans="1:2" x14ac:dyDescent="0.25">
      <c r="A1045" t="str">
        <v>Grønnevej 8, 35, 5400 Bogense</v>
      </c>
      <c r="B1045">
        <v>287253</v>
      </c>
    </row>
    <row r="1046" spans="1:2" x14ac:dyDescent="0.25">
      <c r="A1046" t="str">
        <v>Grønnevej 8, 36, 5400 Bogense</v>
      </c>
      <c r="B1046">
        <v>287254</v>
      </c>
    </row>
    <row r="1047" spans="1:2" x14ac:dyDescent="0.25">
      <c r="A1047" t="str">
        <v>Grønnevej 8, 37, 5400 Bogense</v>
      </c>
      <c r="B1047">
        <v>287255</v>
      </c>
    </row>
    <row r="1048" spans="1:2" x14ac:dyDescent="0.25">
      <c r="A1048" t="str">
        <v>Grønnevej 8, 38, 5400 Bogense</v>
      </c>
      <c r="B1048">
        <v>287256</v>
      </c>
    </row>
    <row r="1049" spans="1:2" x14ac:dyDescent="0.25">
      <c r="A1049" t="str">
        <v>Grønnevej 8, 39, 5400 Bogense</v>
      </c>
      <c r="B1049">
        <v>287257</v>
      </c>
    </row>
    <row r="1050" spans="1:2" x14ac:dyDescent="0.25">
      <c r="A1050" t="str">
        <v>Grønnevej 8, 4, 5400 Bogense</v>
      </c>
      <c r="B1050">
        <v>287258</v>
      </c>
    </row>
    <row r="1051" spans="1:2" x14ac:dyDescent="0.25">
      <c r="A1051" t="str">
        <v>Grønnevej 8, 40, 5400 Bogense</v>
      </c>
      <c r="B1051">
        <v>287259</v>
      </c>
    </row>
    <row r="1052" spans="1:2" x14ac:dyDescent="0.25">
      <c r="A1052" t="str">
        <v>Grønnevej 8, 41, 5400 Bogense</v>
      </c>
      <c r="B1052">
        <v>287260</v>
      </c>
    </row>
    <row r="1053" spans="1:2" x14ac:dyDescent="0.25">
      <c r="A1053" t="str">
        <v>Grønnevej 8, 42, 5400 Bogense</v>
      </c>
      <c r="B1053">
        <v>287261</v>
      </c>
    </row>
    <row r="1054" spans="1:2" x14ac:dyDescent="0.25">
      <c r="A1054" t="str">
        <v>Grønnevej 8, 43, 5400 Bogense</v>
      </c>
      <c r="B1054">
        <v>287262</v>
      </c>
    </row>
    <row r="1055" spans="1:2" x14ac:dyDescent="0.25">
      <c r="A1055" t="str">
        <v>Grønnevej 8, 44, 5400 Bogense</v>
      </c>
      <c r="B1055">
        <v>287263</v>
      </c>
    </row>
    <row r="1056" spans="1:2" x14ac:dyDescent="0.25">
      <c r="A1056" t="str">
        <v>Grønnevej 8, 45, 5400 Bogense</v>
      </c>
      <c r="B1056">
        <v>287264</v>
      </c>
    </row>
    <row r="1057" spans="1:2" x14ac:dyDescent="0.25">
      <c r="A1057" t="str">
        <v>Grønnevej 8, 46, 5400 Bogense</v>
      </c>
      <c r="B1057">
        <v>287265</v>
      </c>
    </row>
    <row r="1058" spans="1:2" x14ac:dyDescent="0.25">
      <c r="A1058" t="str">
        <v>Grønnevej 8, 48, 5400 Bogense</v>
      </c>
      <c r="B1058">
        <v>287267</v>
      </c>
    </row>
    <row r="1059" spans="1:2" x14ac:dyDescent="0.25">
      <c r="A1059" t="str">
        <v>Grønnevej 8, 49, 5400 Bogense</v>
      </c>
      <c r="B1059">
        <v>287268</v>
      </c>
    </row>
    <row r="1060" spans="1:2" x14ac:dyDescent="0.25">
      <c r="A1060" t="str">
        <v>Grønnevej 8, 5, 5400 Bogense</v>
      </c>
      <c r="B1060">
        <v>287269</v>
      </c>
    </row>
    <row r="1061" spans="1:2" x14ac:dyDescent="0.25">
      <c r="A1061" t="str">
        <v>Grønnevej 8, 52, 5400 Bogense</v>
      </c>
      <c r="B1061">
        <v>287597</v>
      </c>
    </row>
    <row r="1062" spans="1:2" x14ac:dyDescent="0.25">
      <c r="A1062" t="str">
        <v>Grønnevej 8, 56, 5400 Bogense</v>
      </c>
      <c r="B1062">
        <v>287601</v>
      </c>
    </row>
    <row r="1063" spans="1:2" x14ac:dyDescent="0.25">
      <c r="A1063" t="str">
        <v>Grønnevej 8, 58, 5400 Bogense</v>
      </c>
      <c r="B1063">
        <v>287603</v>
      </c>
    </row>
    <row r="1064" spans="1:2" x14ac:dyDescent="0.25">
      <c r="A1064" t="str">
        <v>Grønnevej 8, 59, 5400 Bogense</v>
      </c>
      <c r="B1064">
        <v>287604</v>
      </c>
    </row>
    <row r="1065" spans="1:2" x14ac:dyDescent="0.25">
      <c r="A1065" t="str">
        <v>Grønnevej 8, 6, 5400 Bogense</v>
      </c>
      <c r="B1065">
        <v>287605</v>
      </c>
    </row>
    <row r="1066" spans="1:2" x14ac:dyDescent="0.25">
      <c r="A1066" t="str">
        <v>Grønnevej 8, 60, 5400 Bogense</v>
      </c>
      <c r="B1066">
        <v>287606</v>
      </c>
    </row>
    <row r="1067" spans="1:2" x14ac:dyDescent="0.25">
      <c r="A1067" t="str">
        <v>Grønnevej 8, 61, 5400 Bogense</v>
      </c>
      <c r="B1067">
        <v>287607</v>
      </c>
    </row>
    <row r="1068" spans="1:2" x14ac:dyDescent="0.25">
      <c r="A1068" t="str">
        <v>Grønnevej 8, 62, 5400 Bogense</v>
      </c>
      <c r="B1068">
        <v>287608</v>
      </c>
    </row>
    <row r="1069" spans="1:2" x14ac:dyDescent="0.25">
      <c r="A1069" t="str">
        <v>Grønnevej 8, 63, 5400 Bogense</v>
      </c>
      <c r="B1069">
        <v>287609</v>
      </c>
    </row>
    <row r="1070" spans="1:2" x14ac:dyDescent="0.25">
      <c r="A1070" t="str">
        <v>Grønnevej 8, 7, 5400 Bogense</v>
      </c>
      <c r="B1070">
        <v>287611</v>
      </c>
    </row>
    <row r="1071" spans="1:2" x14ac:dyDescent="0.25">
      <c r="A1071" t="str">
        <v>Grønnevej 8, 8, 5400 Bogense</v>
      </c>
      <c r="B1071">
        <v>287612</v>
      </c>
    </row>
    <row r="1072" spans="1:2" x14ac:dyDescent="0.25">
      <c r="A1072" t="str">
        <v>Grønnevej 8, 9, 5400 Bogense</v>
      </c>
      <c r="B1072">
        <v>287613</v>
      </c>
    </row>
    <row r="1073" spans="1:2" x14ac:dyDescent="0.25">
      <c r="A1073" t="str">
        <v>Grønnevej 8A, 5400 Bogense</v>
      </c>
      <c r="B1073">
        <v>5443644</v>
      </c>
    </row>
    <row r="1074" spans="1:2" x14ac:dyDescent="0.25">
      <c r="A1074" t="str">
        <v>Grønnevej 8, 73, 5400 Bogense</v>
      </c>
      <c r="B1074">
        <v>5443644</v>
      </c>
    </row>
    <row r="1075" spans="1:2" x14ac:dyDescent="0.25">
      <c r="A1075" t="str">
        <v>Grønnevej 8, 72, 5400 Bogense</v>
      </c>
      <c r="B1075">
        <v>100344105</v>
      </c>
    </row>
    <row r="1076" spans="1:2" x14ac:dyDescent="0.25">
      <c r="A1076" t="str">
        <v>Grønnevej 8, 65, 5400 Bogense</v>
      </c>
      <c r="B1076">
        <v>100344194</v>
      </c>
    </row>
    <row r="1077" spans="1:2" x14ac:dyDescent="0.25">
      <c r="A1077" t="str">
        <v>Grønnevej 8, 66, 5400 Bogense</v>
      </c>
      <c r="B1077">
        <v>100344195</v>
      </c>
    </row>
    <row r="1078" spans="1:2" x14ac:dyDescent="0.25">
      <c r="A1078" t="str">
        <v>Grønnevej 8, 67, 5400 Bogense</v>
      </c>
      <c r="B1078">
        <v>100344196</v>
      </c>
    </row>
    <row r="1079" spans="1:2" x14ac:dyDescent="0.25">
      <c r="A1079" t="str">
        <v>Grønnevej 8, 71, 5400 Bogense</v>
      </c>
      <c r="B1079">
        <v>100344199</v>
      </c>
    </row>
    <row r="1080" spans="1:2" x14ac:dyDescent="0.25">
      <c r="A1080" t="str">
        <v>Grønnevej 8, 68, 5400 Bogense</v>
      </c>
      <c r="B1080">
        <v>100344272</v>
      </c>
    </row>
    <row r="1081" spans="1:2" x14ac:dyDescent="0.25">
      <c r="A1081" t="str">
        <v>Grønnevej 8, 69, 5400 Bogense</v>
      </c>
      <c r="B1081">
        <v>100344273</v>
      </c>
    </row>
    <row r="1082" spans="1:2" x14ac:dyDescent="0.25">
      <c r="A1082" t="str">
        <v>Grønnevej 8, 70, 5400 Bogense</v>
      </c>
      <c r="B1082">
        <v>100344274</v>
      </c>
    </row>
    <row r="1083" spans="1:2" x14ac:dyDescent="0.25">
      <c r="A1083">
        <v>0</v>
      </c>
      <c r="B1083">
        <v>5443645</v>
      </c>
    </row>
    <row r="1084" spans="1:2" x14ac:dyDescent="0.25">
      <c r="A1084" t="str">
        <v>Odensevej 83, 5400 Bogense</v>
      </c>
      <c r="B1084">
        <v>5443646</v>
      </c>
    </row>
    <row r="1085" spans="1:2" x14ac:dyDescent="0.25">
      <c r="A1085" t="str">
        <v>Odensevej 51, 5400 Bogense</v>
      </c>
      <c r="B1085">
        <v>5443647</v>
      </c>
    </row>
    <row r="1086" spans="1:2" x14ac:dyDescent="0.25">
      <c r="A1086" t="str">
        <v>Odensevej 81, 5400 Bogense</v>
      </c>
      <c r="B1086">
        <v>5443648</v>
      </c>
    </row>
    <row r="1087" spans="1:2" x14ac:dyDescent="0.25">
      <c r="A1087">
        <v>0</v>
      </c>
      <c r="B1087">
        <v>5443649</v>
      </c>
    </row>
    <row r="1088" spans="1:2" x14ac:dyDescent="0.25">
      <c r="A1088" t="str">
        <v>Odensevej 49, 5400 Bogense</v>
      </c>
      <c r="B1088">
        <v>5443650</v>
      </c>
    </row>
    <row r="1089" spans="1:2" x14ac:dyDescent="0.25">
      <c r="A1089" t="str">
        <v>Odensevej 45, 5400 Bogense</v>
      </c>
      <c r="B1089">
        <v>5443651</v>
      </c>
    </row>
    <row r="1090" spans="1:2" x14ac:dyDescent="0.25">
      <c r="A1090" t="str">
        <v>Odensevej 53A, 5400 Bogense</v>
      </c>
      <c r="B1090">
        <v>5443656</v>
      </c>
    </row>
    <row r="1091" spans="1:2" x14ac:dyDescent="0.25">
      <c r="A1091" t="str">
        <v>Falkevej 10, 5400 Bogense</v>
      </c>
      <c r="B1091">
        <v>5443659</v>
      </c>
    </row>
    <row r="1092" spans="1:2" x14ac:dyDescent="0.25">
      <c r="A1092" t="str">
        <v>Hjortevænget 15, 5400 Bogense</v>
      </c>
      <c r="B1092">
        <v>5443660</v>
      </c>
    </row>
    <row r="1093" spans="1:2" x14ac:dyDescent="0.25">
      <c r="A1093" t="str">
        <v>Hjortevænget 13, 5400 Bogense</v>
      </c>
      <c r="B1093">
        <v>5443661</v>
      </c>
    </row>
    <row r="1094" spans="1:2" x14ac:dyDescent="0.25">
      <c r="A1094" t="str">
        <v>Hjortevænget 11, 5400 Bogense</v>
      </c>
      <c r="B1094">
        <v>5443662</v>
      </c>
    </row>
    <row r="1095" spans="1:2" x14ac:dyDescent="0.25">
      <c r="A1095">
        <v>0</v>
      </c>
      <c r="B1095">
        <v>5443663</v>
      </c>
    </row>
    <row r="1096" spans="1:2" x14ac:dyDescent="0.25">
      <c r="A1096" t="str">
        <v>Odensevej 108, 5400 Bogense</v>
      </c>
      <c r="B1096">
        <v>5443669</v>
      </c>
    </row>
    <row r="1097" spans="1:2" x14ac:dyDescent="0.25">
      <c r="A1097" t="str">
        <v>Odensevej 112, 5400 Bogense</v>
      </c>
      <c r="B1097">
        <v>5443670</v>
      </c>
    </row>
    <row r="1098" spans="1:2" x14ac:dyDescent="0.25">
      <c r="A1098" t="str">
        <v>Odensevej 112, 1., 5400 Bogense</v>
      </c>
      <c r="B1098">
        <v>5443670</v>
      </c>
    </row>
    <row r="1099" spans="1:2" x14ac:dyDescent="0.25">
      <c r="A1099" t="str">
        <v>Odensevej 112, 5400 Bogense</v>
      </c>
      <c r="B1099">
        <v>5443670</v>
      </c>
    </row>
    <row r="1100" spans="1:2" x14ac:dyDescent="0.25">
      <c r="A1100" t="str">
        <v>Odensevej 112, 5400 Bogense</v>
      </c>
      <c r="B1100">
        <v>5443670</v>
      </c>
    </row>
    <row r="1101" spans="1:2" x14ac:dyDescent="0.25">
      <c r="A1101" t="str">
        <v>Odensevej 112, 5400 Bogense</v>
      </c>
      <c r="B1101">
        <v>5443670</v>
      </c>
    </row>
    <row r="1102" spans="1:2" x14ac:dyDescent="0.25">
      <c r="A1102" t="str">
        <v>Odensevej 112, 5400 Bogense</v>
      </c>
      <c r="B1102">
        <v>5443670</v>
      </c>
    </row>
    <row r="1103" spans="1:2" x14ac:dyDescent="0.25">
      <c r="A1103" t="str">
        <v>Odensevej 112, st., 5400 Bogense</v>
      </c>
      <c r="B1103">
        <v>5443670</v>
      </c>
    </row>
    <row r="1104" spans="1:2" x14ac:dyDescent="0.25">
      <c r="A1104" t="str">
        <v>Odensevej 104, 5400 Bogense</v>
      </c>
      <c r="B1104">
        <v>5443674</v>
      </c>
    </row>
    <row r="1105" spans="1:2" x14ac:dyDescent="0.25">
      <c r="A1105" t="str">
        <v>Odensevej 104, 5400 Bogense</v>
      </c>
      <c r="B1105">
        <v>5443674</v>
      </c>
    </row>
    <row r="1106" spans="1:2" x14ac:dyDescent="0.25">
      <c r="A1106" t="str">
        <v>Odensevej 104, 5400 Bogense</v>
      </c>
      <c r="B1106">
        <v>5443674</v>
      </c>
    </row>
    <row r="1107" spans="1:2" x14ac:dyDescent="0.25">
      <c r="A1107" t="str">
        <v>Odensevej 104, 5400 Bogense</v>
      </c>
      <c r="B1107">
        <v>5443674</v>
      </c>
    </row>
    <row r="1108" spans="1:2" x14ac:dyDescent="0.25">
      <c r="A1108" t="str">
        <v>Odensevej 104, 5400 Bogense</v>
      </c>
      <c r="B1108">
        <v>5443674</v>
      </c>
    </row>
    <row r="1109" spans="1:2" x14ac:dyDescent="0.25">
      <c r="A1109" t="str">
        <v>Odensevej 104, 5400 Bogense</v>
      </c>
      <c r="B1109">
        <v>5443674</v>
      </c>
    </row>
    <row r="1110" spans="1:2" x14ac:dyDescent="0.25">
      <c r="A1110" t="str">
        <v>Odensevej 104, 5400 Bogense</v>
      </c>
      <c r="B1110">
        <v>5443674</v>
      </c>
    </row>
    <row r="1111" spans="1:2" x14ac:dyDescent="0.25">
      <c r="A1111" t="str">
        <v>Odensevej 104, 5400 Bogense</v>
      </c>
      <c r="B1111">
        <v>5443674</v>
      </c>
    </row>
    <row r="1112" spans="1:2" x14ac:dyDescent="0.25">
      <c r="A1112" t="str">
        <v>Odensevej 104, 5400 Bogense</v>
      </c>
      <c r="B1112">
        <v>5443674</v>
      </c>
    </row>
    <row r="1113" spans="1:2" x14ac:dyDescent="0.25">
      <c r="A1113" t="str">
        <v>Odensevej 104, 5400 Bogense</v>
      </c>
      <c r="B1113">
        <v>5443674</v>
      </c>
    </row>
    <row r="1114" spans="1:2" x14ac:dyDescent="0.25">
      <c r="A1114">
        <v>0</v>
      </c>
      <c r="B1114">
        <v>5443684</v>
      </c>
    </row>
    <row r="1115" spans="1:2" x14ac:dyDescent="0.25">
      <c r="A1115" t="str">
        <v>Jyllandsvej 9, 5400 Bogense</v>
      </c>
      <c r="B1115">
        <v>5443688</v>
      </c>
    </row>
    <row r="1116" spans="1:2" x14ac:dyDescent="0.25">
      <c r="A1116" t="str">
        <v>Jyllandsvej 9, 5400 Bogense</v>
      </c>
      <c r="B1116">
        <v>5443688</v>
      </c>
    </row>
    <row r="1117" spans="1:2" x14ac:dyDescent="0.25">
      <c r="A1117" t="str">
        <v>Jyllandsvej 9, 5400 Bogense</v>
      </c>
      <c r="B1117">
        <v>5443688</v>
      </c>
    </row>
    <row r="1118" spans="1:2" x14ac:dyDescent="0.25">
      <c r="A1118" t="str">
        <v>Jyllandsvej 9, 5400 Bogense</v>
      </c>
      <c r="B1118">
        <v>5443688</v>
      </c>
    </row>
    <row r="1119" spans="1:2" x14ac:dyDescent="0.25">
      <c r="A1119" t="str">
        <v>Jyllandsvej 2A, 5400 Bogense</v>
      </c>
      <c r="B1119">
        <v>5443689</v>
      </c>
    </row>
    <row r="1120" spans="1:2" x14ac:dyDescent="0.25">
      <c r="A1120" t="str">
        <v>Jyllandsvej 2A, 5400 Bogense</v>
      </c>
      <c r="B1120">
        <v>5443689</v>
      </c>
    </row>
    <row r="1121" spans="1:2" x14ac:dyDescent="0.25">
      <c r="A1121" t="str">
        <v>Jyllandsvej 2B, 5400 Bogense</v>
      </c>
      <c r="B1121">
        <v>5443689</v>
      </c>
    </row>
    <row r="1122" spans="1:2" x14ac:dyDescent="0.25">
      <c r="A1122" t="str">
        <v>Odensevej 100, 5400 Bogense</v>
      </c>
      <c r="B1122">
        <v>5443690</v>
      </c>
    </row>
    <row r="1123" spans="1:2" x14ac:dyDescent="0.25">
      <c r="A1123" t="str">
        <v>Odensevej 98, 5400 Bogense</v>
      </c>
      <c r="B1123">
        <v>5443691</v>
      </c>
    </row>
    <row r="1124" spans="1:2" x14ac:dyDescent="0.25">
      <c r="A1124" t="str">
        <v>Odensevej 96, 5400 Bogense</v>
      </c>
      <c r="B1124">
        <v>5443692</v>
      </c>
    </row>
    <row r="1125" spans="1:2" x14ac:dyDescent="0.25">
      <c r="A1125" t="str">
        <v>Odensevej 94, 5400 Bogense</v>
      </c>
      <c r="B1125">
        <v>5443693</v>
      </c>
    </row>
    <row r="1126" spans="1:2" x14ac:dyDescent="0.25">
      <c r="A1126" t="str">
        <v>Jyllandsvej 1, 5400 Bogense</v>
      </c>
      <c r="B1126">
        <v>5443694</v>
      </c>
    </row>
    <row r="1127" spans="1:2" x14ac:dyDescent="0.25">
      <c r="A1127" t="str">
        <v>Jyllandsvej 1, 5400 Bogense</v>
      </c>
      <c r="B1127">
        <v>5443694</v>
      </c>
    </row>
    <row r="1128" spans="1:2" x14ac:dyDescent="0.25">
      <c r="A1128" t="str">
        <v>Jyllandsvej 1, 5400 Bogense</v>
      </c>
      <c r="B1128">
        <v>5443694</v>
      </c>
    </row>
    <row r="1129" spans="1:2" x14ac:dyDescent="0.25">
      <c r="A1129" t="str">
        <v>Jyllandsvej 1, 5400 Bogense</v>
      </c>
      <c r="B1129">
        <v>5443694</v>
      </c>
    </row>
    <row r="1130" spans="1:2" x14ac:dyDescent="0.25">
      <c r="A1130" t="str">
        <v>Jyllandsvej 1, 5400 Bogense</v>
      </c>
      <c r="B1130">
        <v>5443694</v>
      </c>
    </row>
    <row r="1131" spans="1:2" x14ac:dyDescent="0.25">
      <c r="A1131" t="str">
        <v>Jyllandsvej 1, 5400 Bogense</v>
      </c>
      <c r="B1131">
        <v>5443694</v>
      </c>
    </row>
    <row r="1132" spans="1:2" x14ac:dyDescent="0.25">
      <c r="A1132" t="str">
        <v>Jyllandsvej 1, 5400 Bogense</v>
      </c>
      <c r="B1132">
        <v>5443694</v>
      </c>
    </row>
    <row r="1133" spans="1:2" x14ac:dyDescent="0.25">
      <c r="A1133" t="str">
        <v>Sjællandsvej 1A, 5400 Bogense</v>
      </c>
      <c r="B1133">
        <v>5443700</v>
      </c>
    </row>
    <row r="1134" spans="1:2" x14ac:dyDescent="0.25">
      <c r="A1134" t="str">
        <v>Sjællandsvej 1A, 5400 Bogense</v>
      </c>
      <c r="B1134">
        <v>5443700</v>
      </c>
    </row>
    <row r="1135" spans="1:2" x14ac:dyDescent="0.25">
      <c r="A1135" t="str">
        <v>Sjællandsvej 1B, 5400 Bogense</v>
      </c>
      <c r="B1135">
        <v>5443700</v>
      </c>
    </row>
    <row r="1136" spans="1:2" x14ac:dyDescent="0.25">
      <c r="A1136" t="str">
        <v>Sjællandsvej 1B, 5400 Bogense</v>
      </c>
      <c r="B1136">
        <v>5443700</v>
      </c>
    </row>
    <row r="1137" spans="1:2" x14ac:dyDescent="0.25">
      <c r="A1137" t="str">
        <v>Sjællandsvej 2, 5400 Bogense</v>
      </c>
      <c r="B1137">
        <v>5443701</v>
      </c>
    </row>
    <row r="1138" spans="1:2" x14ac:dyDescent="0.25">
      <c r="A1138" t="str">
        <v>Sjællandsvej 7, 5400 Bogense</v>
      </c>
      <c r="B1138">
        <v>5443702</v>
      </c>
    </row>
    <row r="1139" spans="1:2" x14ac:dyDescent="0.25">
      <c r="A1139" t="str">
        <v>Sjællandsvej 7, 5400 Bogense</v>
      </c>
      <c r="B1139">
        <v>5443702</v>
      </c>
    </row>
    <row r="1140" spans="1:2" x14ac:dyDescent="0.25">
      <c r="A1140" t="str">
        <v>Sjællandsvej 7, 5400 Bogense</v>
      </c>
      <c r="B1140">
        <v>5443702</v>
      </c>
    </row>
    <row r="1141" spans="1:2" x14ac:dyDescent="0.25">
      <c r="A1141" t="str">
        <v>Sjællandsvej 3, 5400 Bogense</v>
      </c>
      <c r="B1141">
        <v>5443704</v>
      </c>
    </row>
    <row r="1142" spans="1:2" x14ac:dyDescent="0.25">
      <c r="A1142" t="str">
        <v>Almindevej 3, 5400 Bogense</v>
      </c>
      <c r="B1142">
        <v>5443705</v>
      </c>
    </row>
    <row r="1143" spans="1:2" x14ac:dyDescent="0.25">
      <c r="A1143" t="str">
        <v>Jyllandsvej 11, 5400 Bogense</v>
      </c>
      <c r="B1143">
        <v>5443707</v>
      </c>
    </row>
    <row r="1144" spans="1:2" x14ac:dyDescent="0.25">
      <c r="A1144" t="str">
        <v>Jyllandsvej 11, 5400 Bogense</v>
      </c>
      <c r="B1144">
        <v>5443707</v>
      </c>
    </row>
    <row r="1145" spans="1:2" x14ac:dyDescent="0.25">
      <c r="A1145" t="str">
        <v>Jyllandsvej 11, 5400 Bogense</v>
      </c>
      <c r="B1145">
        <v>5443707</v>
      </c>
    </row>
    <row r="1146" spans="1:2" x14ac:dyDescent="0.25">
      <c r="A1146" t="str">
        <v>Fynsvej 14, 5400 Bogense</v>
      </c>
      <c r="B1146">
        <v>5443708</v>
      </c>
    </row>
    <row r="1147" spans="1:2" x14ac:dyDescent="0.25">
      <c r="A1147" t="str">
        <v>Fynsvej 14, 5400 Bogense</v>
      </c>
      <c r="B1147">
        <v>5443708</v>
      </c>
    </row>
    <row r="1148" spans="1:2" x14ac:dyDescent="0.25">
      <c r="A1148" t="str">
        <v>Fynsvej 14, 5400 Bogense</v>
      </c>
      <c r="B1148">
        <v>5443708</v>
      </c>
    </row>
    <row r="1149" spans="1:2" x14ac:dyDescent="0.25">
      <c r="A1149" t="str">
        <v>Fynsvej 14, 5400 Bogense</v>
      </c>
      <c r="B1149">
        <v>5443708</v>
      </c>
    </row>
    <row r="1150" spans="1:2" x14ac:dyDescent="0.25">
      <c r="A1150" t="str">
        <v>Fynsvej 14, 5400 Bogense</v>
      </c>
      <c r="B1150">
        <v>5443708</v>
      </c>
    </row>
    <row r="1151" spans="1:2" x14ac:dyDescent="0.25">
      <c r="A1151" t="str">
        <v>Fynsvej 14, 5400 Bogense</v>
      </c>
      <c r="B1151">
        <v>5443708</v>
      </c>
    </row>
    <row r="1152" spans="1:2" x14ac:dyDescent="0.25">
      <c r="A1152" t="str">
        <v>Fynsvej 1, 5400 Bogense</v>
      </c>
      <c r="B1152">
        <v>5443709</v>
      </c>
    </row>
    <row r="1153" spans="1:2" x14ac:dyDescent="0.25">
      <c r="A1153" t="str">
        <v>Jyllandsvej 15, 5400 Bogense</v>
      </c>
      <c r="B1153">
        <v>5443710</v>
      </c>
    </row>
    <row r="1154" spans="1:2" x14ac:dyDescent="0.25">
      <c r="A1154" t="str">
        <v>Jyllandsvej 15, 5400 Bogense</v>
      </c>
      <c r="B1154">
        <v>5443710</v>
      </c>
    </row>
    <row r="1155" spans="1:2" x14ac:dyDescent="0.25">
      <c r="A1155" t="str">
        <v>Jyllandsvej 15, 5400 Bogense</v>
      </c>
      <c r="B1155">
        <v>5443710</v>
      </c>
    </row>
    <row r="1156" spans="1:2" x14ac:dyDescent="0.25">
      <c r="A1156" t="str">
        <v>Fynsvej 3, 5400 Bogense</v>
      </c>
      <c r="B1156">
        <v>5443712</v>
      </c>
    </row>
    <row r="1157" spans="1:2" x14ac:dyDescent="0.25">
      <c r="A1157" t="str">
        <v>Borgmesterløkken 1, 5400 Bogense</v>
      </c>
      <c r="B1157">
        <v>5443714</v>
      </c>
    </row>
    <row r="1158" spans="1:2" x14ac:dyDescent="0.25">
      <c r="A1158" t="str">
        <v>Stegøvej 40, 5400 Bogense</v>
      </c>
      <c r="B1158">
        <v>5443716</v>
      </c>
    </row>
    <row r="1159" spans="1:2" x14ac:dyDescent="0.25">
      <c r="A1159" t="str">
        <v>Æbeløgade 13, 5400 Bogense</v>
      </c>
      <c r="B1159">
        <v>5443719</v>
      </c>
    </row>
    <row r="1160" spans="1:2" x14ac:dyDescent="0.25">
      <c r="A1160" t="str">
        <v>Æbeløgade 4, 1., 5400 Bogense</v>
      </c>
      <c r="B1160">
        <v>5443721</v>
      </c>
    </row>
    <row r="1161" spans="1:2" x14ac:dyDescent="0.25">
      <c r="A1161" t="str">
        <v>Æbeløgade 4, st., 5400 Bogense</v>
      </c>
      <c r="B1161">
        <v>5443721</v>
      </c>
    </row>
    <row r="1162" spans="1:2" x14ac:dyDescent="0.25">
      <c r="A1162" t="str">
        <v>Æbeløgade 6, 5400 Bogense</v>
      </c>
      <c r="B1162">
        <v>5443722</v>
      </c>
    </row>
    <row r="1163" spans="1:2" x14ac:dyDescent="0.25">
      <c r="A1163" t="str">
        <v>Reberbanen 1B, 5400 Bogense</v>
      </c>
      <c r="B1163">
        <v>5443724</v>
      </c>
    </row>
    <row r="1164" spans="1:2" x14ac:dyDescent="0.25">
      <c r="A1164" t="str">
        <v>Æbeløgade 27, 5400 Bogense</v>
      </c>
      <c r="B1164">
        <v>5443725</v>
      </c>
    </row>
    <row r="1165" spans="1:2" x14ac:dyDescent="0.25">
      <c r="A1165" t="str">
        <v>Æbeløgade 25, 5400 Bogense</v>
      </c>
      <c r="B1165">
        <v>5443727</v>
      </c>
    </row>
    <row r="1166" spans="1:2" x14ac:dyDescent="0.25">
      <c r="A1166" t="str">
        <v>Æbeløgade 3, 5400 Bogense</v>
      </c>
      <c r="B1166">
        <v>5443728</v>
      </c>
    </row>
    <row r="1167" spans="1:2" x14ac:dyDescent="0.25">
      <c r="A1167" t="str">
        <v>Æbeløgade 23, 5400 Bogense</v>
      </c>
      <c r="B1167">
        <v>5443729</v>
      </c>
    </row>
    <row r="1168" spans="1:2" x14ac:dyDescent="0.25">
      <c r="A1168" t="str">
        <v>Æbeløgade 21, 5400 Bogense</v>
      </c>
      <c r="B1168">
        <v>5443730</v>
      </c>
    </row>
    <row r="1169" spans="1:2" x14ac:dyDescent="0.25">
      <c r="A1169" t="str">
        <v>Æbeløgade 19, 5400 Bogense</v>
      </c>
      <c r="B1169">
        <v>5443731</v>
      </c>
    </row>
    <row r="1170" spans="1:2" x14ac:dyDescent="0.25">
      <c r="A1170" t="str">
        <v>Æbeløgade 5, 5400 Bogense</v>
      </c>
      <c r="B1170">
        <v>5443732</v>
      </c>
    </row>
    <row r="1171" spans="1:2" x14ac:dyDescent="0.25">
      <c r="A1171">
        <v>0</v>
      </c>
      <c r="B1171">
        <v>5443733</v>
      </c>
    </row>
    <row r="1172" spans="1:2" x14ac:dyDescent="0.25">
      <c r="A1172" t="str">
        <v>Æbeløgade 7, 5400 Bogense</v>
      </c>
      <c r="B1172">
        <v>5443734</v>
      </c>
    </row>
    <row r="1173" spans="1:2" x14ac:dyDescent="0.25">
      <c r="A1173" t="str">
        <v>Æbeløgade 17, 5400 Bogense</v>
      </c>
      <c r="B1173">
        <v>5443735</v>
      </c>
    </row>
    <row r="1174" spans="1:2" x14ac:dyDescent="0.25">
      <c r="A1174" t="str">
        <v>Æbeløgade 15, 5400 Bogense</v>
      </c>
      <c r="B1174">
        <v>5443737</v>
      </c>
    </row>
    <row r="1175" spans="1:2" x14ac:dyDescent="0.25">
      <c r="A1175" t="str">
        <v>Æbeløgade 9, 5400 Bogense</v>
      </c>
      <c r="B1175">
        <v>5443738</v>
      </c>
    </row>
    <row r="1176" spans="1:2" x14ac:dyDescent="0.25">
      <c r="A1176" t="str">
        <v>Æbeløgade 11, 5400 Bogense</v>
      </c>
      <c r="B1176">
        <v>5443739</v>
      </c>
    </row>
    <row r="1177" spans="1:2" x14ac:dyDescent="0.25">
      <c r="A1177" t="str">
        <v>Æbeløgade 8, 5400 Bogense</v>
      </c>
      <c r="B1177">
        <v>5443740</v>
      </c>
    </row>
    <row r="1178" spans="1:2" x14ac:dyDescent="0.25">
      <c r="A1178" t="str">
        <v>Æbeløgade 10, 5400 Bogense</v>
      </c>
      <c r="B1178">
        <v>5443741</v>
      </c>
    </row>
    <row r="1179" spans="1:2" x14ac:dyDescent="0.25">
      <c r="A1179" t="str">
        <v>Lindøvej 12, 5400 Bogense</v>
      </c>
      <c r="B1179">
        <v>5443742</v>
      </c>
    </row>
    <row r="1180" spans="1:2" x14ac:dyDescent="0.25">
      <c r="A1180" t="str">
        <v>Lindøvej 14, 5400 Bogense</v>
      </c>
      <c r="B1180">
        <v>5443742</v>
      </c>
    </row>
    <row r="1181" spans="1:2" x14ac:dyDescent="0.25">
      <c r="A1181" t="str">
        <v>Lindøvej 16, 5400 Bogense</v>
      </c>
      <c r="B1181">
        <v>5443742</v>
      </c>
    </row>
    <row r="1182" spans="1:2" x14ac:dyDescent="0.25">
      <c r="A1182" t="str">
        <v>Lindøvej 18, 5400 Bogense</v>
      </c>
      <c r="B1182">
        <v>5443742</v>
      </c>
    </row>
    <row r="1183" spans="1:2" x14ac:dyDescent="0.25">
      <c r="A1183" t="str">
        <v>Æbeløgade 14, 5400 Bogense</v>
      </c>
      <c r="B1183">
        <v>5443742</v>
      </c>
    </row>
    <row r="1184" spans="1:2" x14ac:dyDescent="0.25">
      <c r="A1184" t="str">
        <v>Æbeløgade 14A, 5400 Bogense</v>
      </c>
      <c r="B1184">
        <v>5443742</v>
      </c>
    </row>
    <row r="1185" spans="1:2" x14ac:dyDescent="0.25">
      <c r="A1185" t="str">
        <v>Lindøvej 10, 5400 Bogense</v>
      </c>
      <c r="B1185">
        <v>5443745</v>
      </c>
    </row>
    <row r="1186" spans="1:2" x14ac:dyDescent="0.25">
      <c r="A1186" t="str">
        <v>Æbeløgade 12, 5400 Bogense</v>
      </c>
      <c r="B1186">
        <v>5443746</v>
      </c>
    </row>
    <row r="1187" spans="1:2" x14ac:dyDescent="0.25">
      <c r="A1187" t="str">
        <v>Lindøvej 9, 5400 Bogense</v>
      </c>
      <c r="B1187">
        <v>5443747</v>
      </c>
    </row>
    <row r="1188" spans="1:2" x14ac:dyDescent="0.25">
      <c r="A1188" t="str">
        <v>Reberbanen 11, 5400 Bogense</v>
      </c>
      <c r="B1188">
        <v>5443748</v>
      </c>
    </row>
    <row r="1189" spans="1:2" x14ac:dyDescent="0.25">
      <c r="A1189" t="str">
        <v>Reberbanen 9, 5400 Bogense</v>
      </c>
      <c r="B1189">
        <v>5443749</v>
      </c>
    </row>
    <row r="1190" spans="1:2" x14ac:dyDescent="0.25">
      <c r="A1190" t="str">
        <v>Reberbanen 7, 5400 Bogense</v>
      </c>
      <c r="B1190">
        <v>5443750</v>
      </c>
    </row>
    <row r="1191" spans="1:2" x14ac:dyDescent="0.25">
      <c r="A1191" t="str">
        <v>Reberbanen 5, 5400 Bogense</v>
      </c>
      <c r="B1191">
        <v>5443751</v>
      </c>
    </row>
    <row r="1192" spans="1:2" x14ac:dyDescent="0.25">
      <c r="A1192" t="str">
        <v>Reberbanen 3, 5400 Bogense</v>
      </c>
      <c r="B1192">
        <v>5443752</v>
      </c>
    </row>
    <row r="1193" spans="1:2" x14ac:dyDescent="0.25">
      <c r="A1193" t="str">
        <v>Gyldensteensvej 8, 1. th, 5400 Bogense</v>
      </c>
      <c r="B1193">
        <v>5443755</v>
      </c>
    </row>
    <row r="1194" spans="1:2" x14ac:dyDescent="0.25">
      <c r="A1194" t="str">
        <v>Gyldensteensvej 8, 1. tv, 5400 Bogense</v>
      </c>
      <c r="B1194">
        <v>5443755</v>
      </c>
    </row>
    <row r="1195" spans="1:2" x14ac:dyDescent="0.25">
      <c r="A1195" t="str">
        <v>Gyldensteensvej 8, 2., 5400 Bogense</v>
      </c>
      <c r="B1195">
        <v>5443755</v>
      </c>
    </row>
    <row r="1196" spans="1:2" x14ac:dyDescent="0.25">
      <c r="A1196" t="str">
        <v>Gyldensteensvej 8, st. th, 5400 Bogense</v>
      </c>
      <c r="B1196">
        <v>5443755</v>
      </c>
    </row>
    <row r="1197" spans="1:2" x14ac:dyDescent="0.25">
      <c r="A1197" t="str">
        <v>Gyldensteensvej 8, st. tv, 5400 Bogense</v>
      </c>
      <c r="B1197">
        <v>5443755</v>
      </c>
    </row>
    <row r="1198" spans="1:2" x14ac:dyDescent="0.25">
      <c r="A1198" t="str">
        <v>Gyldensteensvej 10C, 5400 Bogense</v>
      </c>
      <c r="B1198">
        <v>5443756</v>
      </c>
    </row>
    <row r="1199" spans="1:2" x14ac:dyDescent="0.25">
      <c r="A1199" t="str">
        <v>Mejerivej 7, 5400 Bogense</v>
      </c>
      <c r="B1199">
        <v>5443762</v>
      </c>
    </row>
    <row r="1200" spans="1:2" x14ac:dyDescent="0.25">
      <c r="A1200" t="str">
        <v>Skovbrovej 9D, 5400 Bogense</v>
      </c>
      <c r="B1200">
        <v>5443764</v>
      </c>
    </row>
    <row r="1201" spans="1:2" x14ac:dyDescent="0.25">
      <c r="A1201" t="str">
        <v>Skovbrovej 9D, 1., 5400 Bogense</v>
      </c>
      <c r="B1201">
        <v>5443764</v>
      </c>
    </row>
    <row r="1202" spans="1:2" x14ac:dyDescent="0.25">
      <c r="A1202" t="str">
        <v>Skovbrovej 9D, 2., 5400 Bogense</v>
      </c>
      <c r="B1202">
        <v>5443764</v>
      </c>
    </row>
    <row r="1203" spans="1:2" x14ac:dyDescent="0.25">
      <c r="A1203" t="str">
        <v>Skovbrovej 9D, st., 5400 Bogense</v>
      </c>
      <c r="B1203">
        <v>5443764</v>
      </c>
    </row>
    <row r="1204" spans="1:2" x14ac:dyDescent="0.25">
      <c r="A1204" t="str">
        <v>Søndermarksvej 19, 5400 Bogense</v>
      </c>
      <c r="B1204">
        <v>5443767</v>
      </c>
    </row>
    <row r="1205" spans="1:2" x14ac:dyDescent="0.25">
      <c r="A1205" t="str">
        <v>Søndermarksvej 19, 5400 Bogense</v>
      </c>
      <c r="B1205">
        <v>5443767</v>
      </c>
    </row>
    <row r="1206" spans="1:2" x14ac:dyDescent="0.25">
      <c r="A1206" t="str">
        <v>Søndermarksvej 21, 5400 Bogense</v>
      </c>
      <c r="B1206">
        <v>5443767</v>
      </c>
    </row>
    <row r="1207" spans="1:2" x14ac:dyDescent="0.25">
      <c r="A1207" t="str">
        <v>Søndermarksvej 23, 5400 Bogense</v>
      </c>
      <c r="B1207">
        <v>5443767</v>
      </c>
    </row>
    <row r="1208" spans="1:2" x14ac:dyDescent="0.25">
      <c r="A1208" t="str">
        <v>Søndermarksvej 25, 5400 Bogense</v>
      </c>
      <c r="B1208">
        <v>5443767</v>
      </c>
    </row>
    <row r="1209" spans="1:2" x14ac:dyDescent="0.25">
      <c r="A1209" t="str">
        <v>Søndermarksvej 27, 5400 Bogense</v>
      </c>
      <c r="B1209">
        <v>5443767</v>
      </c>
    </row>
    <row r="1210" spans="1:2" x14ac:dyDescent="0.25">
      <c r="A1210" t="str">
        <v>Søndermarksvej 29, 5400 Bogense</v>
      </c>
      <c r="B1210">
        <v>5443767</v>
      </c>
    </row>
    <row r="1211" spans="1:2" x14ac:dyDescent="0.25">
      <c r="A1211" t="str">
        <v>Søndermarksvej 31, 5400 Bogense</v>
      </c>
      <c r="B1211">
        <v>5443767</v>
      </c>
    </row>
    <row r="1212" spans="1:2" x14ac:dyDescent="0.25">
      <c r="A1212" t="str">
        <v>Søndermarksvej 33, 5400 Bogense</v>
      </c>
      <c r="B1212">
        <v>5443767</v>
      </c>
    </row>
    <row r="1213" spans="1:2" x14ac:dyDescent="0.25">
      <c r="A1213" t="str">
        <v>Søndermarksvej 35, 5400 Bogense</v>
      </c>
      <c r="B1213">
        <v>5443767</v>
      </c>
    </row>
    <row r="1214" spans="1:2" x14ac:dyDescent="0.25">
      <c r="A1214" t="str">
        <v>Søndermarksvej 37, 5400 Bogense</v>
      </c>
      <c r="B1214">
        <v>5443767</v>
      </c>
    </row>
    <row r="1215" spans="1:2" x14ac:dyDescent="0.25">
      <c r="A1215" t="str">
        <v>Søndermarksvej 39, 5400 Bogense</v>
      </c>
      <c r="B1215">
        <v>5443767</v>
      </c>
    </row>
    <row r="1216" spans="1:2" x14ac:dyDescent="0.25">
      <c r="A1216" t="str">
        <v>Søndermarksvej 41, 5400 Bogense</v>
      </c>
      <c r="B1216">
        <v>5443767</v>
      </c>
    </row>
    <row r="1217" spans="1:2" x14ac:dyDescent="0.25">
      <c r="A1217" t="str">
        <v>Søndermarksvej 43, 5400 Bogense</v>
      </c>
      <c r="B1217">
        <v>5443767</v>
      </c>
    </row>
    <row r="1218" spans="1:2" x14ac:dyDescent="0.25">
      <c r="A1218" t="str">
        <v>Fuglebakken 24P, 5400 Bogense</v>
      </c>
      <c r="B1218">
        <v>5443768</v>
      </c>
    </row>
    <row r="1219" spans="1:2" x14ac:dyDescent="0.25">
      <c r="A1219" t="str">
        <v>Østre Engvej 25, 5400 Bogense</v>
      </c>
      <c r="B1219">
        <v>5443776</v>
      </c>
    </row>
    <row r="1220" spans="1:2" x14ac:dyDescent="0.25">
      <c r="A1220" t="str">
        <v>Østre Engvej 25, 1. th, 5400 Bogense</v>
      </c>
      <c r="B1220">
        <v>5443776</v>
      </c>
    </row>
    <row r="1221" spans="1:2" x14ac:dyDescent="0.25">
      <c r="A1221" t="str">
        <v>Østre Engvej 25, 1. tv, 5400 Bogense</v>
      </c>
      <c r="B1221">
        <v>5443776</v>
      </c>
    </row>
    <row r="1222" spans="1:2" x14ac:dyDescent="0.25">
      <c r="A1222" t="str">
        <v>Østre Engvej 25, st. th, 5400 Bogense</v>
      </c>
      <c r="B1222">
        <v>5443776</v>
      </c>
    </row>
    <row r="1223" spans="1:2" x14ac:dyDescent="0.25">
      <c r="A1223" t="str">
        <v>Østre Engvej 25, st. tv, 5400 Bogense</v>
      </c>
      <c r="B1223">
        <v>5443776</v>
      </c>
    </row>
    <row r="1224" spans="1:2" x14ac:dyDescent="0.25">
      <c r="A1224" t="str">
        <v>Østre Engvej 27, 1. th, 5400 Bogense</v>
      </c>
      <c r="B1224">
        <v>5443776</v>
      </c>
    </row>
    <row r="1225" spans="1:2" x14ac:dyDescent="0.25">
      <c r="A1225" t="str">
        <v>Østre Engvej 27, 1. tv, 5400 Bogense</v>
      </c>
      <c r="B1225">
        <v>5443776</v>
      </c>
    </row>
    <row r="1226" spans="1:2" x14ac:dyDescent="0.25">
      <c r="A1226" t="str">
        <v>Østre Engvej 27, st. th, 5400 Bogense</v>
      </c>
      <c r="B1226">
        <v>5443776</v>
      </c>
    </row>
    <row r="1227" spans="1:2" x14ac:dyDescent="0.25">
      <c r="A1227" t="str">
        <v>Østre Engvej 27, st. tv, 5400 Bogense</v>
      </c>
      <c r="B1227">
        <v>5443776</v>
      </c>
    </row>
    <row r="1228" spans="1:2" x14ac:dyDescent="0.25">
      <c r="A1228" t="str">
        <v>Østre Engvej 29, 1. th, 5400 Bogense</v>
      </c>
      <c r="B1228">
        <v>5443776</v>
      </c>
    </row>
    <row r="1229" spans="1:2" x14ac:dyDescent="0.25">
      <c r="A1229" t="str">
        <v>Østre Engvej 29, 1. tv, 5400 Bogense</v>
      </c>
      <c r="B1229">
        <v>5443776</v>
      </c>
    </row>
    <row r="1230" spans="1:2" x14ac:dyDescent="0.25">
      <c r="A1230" t="str">
        <v>Østre Engvej 29, st. th, 5400 Bogense</v>
      </c>
      <c r="B1230">
        <v>5443776</v>
      </c>
    </row>
    <row r="1231" spans="1:2" x14ac:dyDescent="0.25">
      <c r="A1231" t="str">
        <v>Østre Engvej 29, st. tv, 5400 Bogense</v>
      </c>
      <c r="B1231">
        <v>5443776</v>
      </c>
    </row>
    <row r="1232" spans="1:2" x14ac:dyDescent="0.25">
      <c r="A1232" t="str">
        <v>Østre Engvej 31, 1. th, 5400 Bogense</v>
      </c>
      <c r="B1232">
        <v>5443776</v>
      </c>
    </row>
    <row r="1233" spans="1:2" x14ac:dyDescent="0.25">
      <c r="A1233" t="str">
        <v>Østre Engvej 31, 1. tv, 5400 Bogense</v>
      </c>
      <c r="B1233">
        <v>5443776</v>
      </c>
    </row>
    <row r="1234" spans="1:2" x14ac:dyDescent="0.25">
      <c r="A1234" t="str">
        <v>Østre Engvej 31, st. th, 5400 Bogense</v>
      </c>
      <c r="B1234">
        <v>5443776</v>
      </c>
    </row>
    <row r="1235" spans="1:2" x14ac:dyDescent="0.25">
      <c r="A1235" t="str">
        <v>Østre Engvej 31, st. tv, 5400 Bogense</v>
      </c>
      <c r="B1235">
        <v>5443776</v>
      </c>
    </row>
    <row r="1236" spans="1:2" x14ac:dyDescent="0.25">
      <c r="A1236" t="str">
        <v>Mejerivej 8, 5400 Bogense</v>
      </c>
      <c r="B1236">
        <v>5443781</v>
      </c>
    </row>
    <row r="1237" spans="1:2" x14ac:dyDescent="0.25">
      <c r="A1237" t="str">
        <v>Mejerivej 12, 5400 Bogense</v>
      </c>
      <c r="B1237">
        <v>5443782</v>
      </c>
    </row>
    <row r="1238" spans="1:2" x14ac:dyDescent="0.25">
      <c r="A1238" t="str">
        <v>Mejerivej 6, 5400 Bogense</v>
      </c>
      <c r="B1238">
        <v>5443785</v>
      </c>
    </row>
    <row r="1239" spans="1:2" x14ac:dyDescent="0.25">
      <c r="A1239" t="str">
        <v>Mejerivej 6, 1., 5400 Bogense</v>
      </c>
      <c r="B1239">
        <v>5443785</v>
      </c>
    </row>
    <row r="1240" spans="1:2" x14ac:dyDescent="0.25">
      <c r="A1240" t="str">
        <v>Mejerivej 6, kl., 5400 Bogense</v>
      </c>
      <c r="B1240">
        <v>5443785</v>
      </c>
    </row>
    <row r="1241" spans="1:2" x14ac:dyDescent="0.25">
      <c r="A1241" t="str">
        <v>Mejerivej 6, st., 5400 Bogense</v>
      </c>
      <c r="B1241">
        <v>5443785</v>
      </c>
    </row>
    <row r="1242" spans="1:2" x14ac:dyDescent="0.25">
      <c r="A1242" t="str">
        <v>Mejerivej 5, 5400 Bogense</v>
      </c>
      <c r="B1242">
        <v>5443786</v>
      </c>
    </row>
    <row r="1243" spans="1:2" x14ac:dyDescent="0.25">
      <c r="A1243" t="str">
        <v>Mejerivej 7, 5400 Bogense</v>
      </c>
      <c r="B1243">
        <v>5443787</v>
      </c>
    </row>
    <row r="1244" spans="1:2" x14ac:dyDescent="0.25">
      <c r="A1244" t="str">
        <v>Mejerivej 3, 5400 Bogense</v>
      </c>
      <c r="B1244">
        <v>5443790</v>
      </c>
    </row>
    <row r="1245" spans="1:2" x14ac:dyDescent="0.25">
      <c r="A1245" t="str">
        <v>Skovbrovej 12, 5400 Bogense</v>
      </c>
      <c r="B1245">
        <v>5443791</v>
      </c>
    </row>
    <row r="1246" spans="1:2" x14ac:dyDescent="0.25">
      <c r="A1246" t="str">
        <v>Skovbrovej 12, 1., 5400 Bogense</v>
      </c>
      <c r="B1246">
        <v>5443791</v>
      </c>
    </row>
    <row r="1247" spans="1:2" x14ac:dyDescent="0.25">
      <c r="A1247" t="str">
        <v>Skovbrovej 12, st., 5400 Bogense</v>
      </c>
      <c r="B1247">
        <v>5443791</v>
      </c>
    </row>
    <row r="1248" spans="1:2" x14ac:dyDescent="0.25">
      <c r="A1248" t="str">
        <v>Skovbrovej 10, 5400 Bogense</v>
      </c>
      <c r="B1248">
        <v>5443792</v>
      </c>
    </row>
    <row r="1249" spans="1:2" x14ac:dyDescent="0.25">
      <c r="A1249" t="str">
        <v>Skovbrovej 8, 5400 Bogense</v>
      </c>
      <c r="B1249">
        <v>5443793</v>
      </c>
    </row>
    <row r="1250" spans="1:2" x14ac:dyDescent="0.25">
      <c r="A1250" t="str">
        <v>Søndermarksvej 13, 5400 Bogense</v>
      </c>
      <c r="B1250">
        <v>5443794</v>
      </c>
    </row>
    <row r="1251" spans="1:2" x14ac:dyDescent="0.25">
      <c r="A1251" t="str">
        <v>Søndermarksvej 15, 5400 Bogense</v>
      </c>
      <c r="B1251">
        <v>5443794</v>
      </c>
    </row>
    <row r="1252" spans="1:2" x14ac:dyDescent="0.25">
      <c r="A1252" t="str">
        <v>Søndermarksvej 17, 5400 Bogense</v>
      </c>
      <c r="B1252">
        <v>5443794</v>
      </c>
    </row>
    <row r="1253" spans="1:2" x14ac:dyDescent="0.25">
      <c r="A1253" t="str">
        <v>Skovbrovej 6, 5400 Bogense</v>
      </c>
      <c r="B1253">
        <v>5443797</v>
      </c>
    </row>
    <row r="1254" spans="1:2" x14ac:dyDescent="0.25">
      <c r="A1254" t="str">
        <v>Skovbrovej 5, 5400 Bogense</v>
      </c>
      <c r="B1254">
        <v>5443798</v>
      </c>
    </row>
    <row r="1255" spans="1:2" x14ac:dyDescent="0.25">
      <c r="A1255" t="str">
        <v>Skovbrovej 3, 5400 Bogense</v>
      </c>
      <c r="B1255">
        <v>5443801</v>
      </c>
    </row>
    <row r="1256" spans="1:2" x14ac:dyDescent="0.25">
      <c r="A1256" t="str">
        <v>Skovbrovej 21, 5400 Bogense</v>
      </c>
      <c r="B1256">
        <v>5443802</v>
      </c>
    </row>
    <row r="1257" spans="1:2" x14ac:dyDescent="0.25">
      <c r="A1257">
        <v>0</v>
      </c>
      <c r="B1257">
        <v>5443805</v>
      </c>
    </row>
    <row r="1258" spans="1:2" x14ac:dyDescent="0.25">
      <c r="A1258" t="str">
        <v>Kalkværksvej 7, 5400 Bogense</v>
      </c>
      <c r="B1258">
        <v>5443806</v>
      </c>
    </row>
    <row r="1259" spans="1:2" x14ac:dyDescent="0.25">
      <c r="A1259" t="str">
        <v>Skovbrovej 7, 5400 Bogense</v>
      </c>
      <c r="B1259">
        <v>5443807</v>
      </c>
    </row>
    <row r="1260" spans="1:2" x14ac:dyDescent="0.25">
      <c r="A1260" t="str">
        <v>Søndermarksvej 5, 1., 5400 Bogense</v>
      </c>
      <c r="B1260">
        <v>5443808</v>
      </c>
    </row>
    <row r="1261" spans="1:2" x14ac:dyDescent="0.25">
      <c r="A1261" t="str">
        <v>Søndermarksvej 5, st., 5400 Bogense</v>
      </c>
      <c r="B1261">
        <v>5443808</v>
      </c>
    </row>
    <row r="1262" spans="1:2" x14ac:dyDescent="0.25">
      <c r="A1262" t="str">
        <v>Søndermarksvej 7, 1., 5400 Bogense</v>
      </c>
      <c r="B1262">
        <v>5443808</v>
      </c>
    </row>
    <row r="1263" spans="1:2" x14ac:dyDescent="0.25">
      <c r="A1263" t="str">
        <v>Søndermarksvej 7, st., 5400 Bogense</v>
      </c>
      <c r="B1263">
        <v>5443808</v>
      </c>
    </row>
    <row r="1264" spans="1:2" x14ac:dyDescent="0.25">
      <c r="A1264" t="str">
        <v>Søndermarksvej 9, 1., 5400 Bogense</v>
      </c>
      <c r="B1264">
        <v>5443808</v>
      </c>
    </row>
    <row r="1265" spans="1:2" x14ac:dyDescent="0.25">
      <c r="A1265" t="str">
        <v>Søndermarksvej 9, st., 5400 Bogense</v>
      </c>
      <c r="B1265">
        <v>5443808</v>
      </c>
    </row>
    <row r="1266" spans="1:2" x14ac:dyDescent="0.25">
      <c r="A1266" t="str">
        <v>Skovbrovej 13, 5400 Bogense</v>
      </c>
      <c r="B1266">
        <v>5443810</v>
      </c>
    </row>
    <row r="1267" spans="1:2" x14ac:dyDescent="0.25">
      <c r="A1267" t="str">
        <v>Skovbrovej 15, 5400 Bogense</v>
      </c>
      <c r="B1267">
        <v>5443811</v>
      </c>
    </row>
    <row r="1268" spans="1:2" x14ac:dyDescent="0.25">
      <c r="A1268" t="str">
        <v>Kalkværksvej 5, 5400 Bogense</v>
      </c>
      <c r="B1268">
        <v>5443813</v>
      </c>
    </row>
    <row r="1269" spans="1:2" x14ac:dyDescent="0.25">
      <c r="A1269" t="str">
        <v>Skovbrovej 17, 5400 Bogense</v>
      </c>
      <c r="B1269">
        <v>5443814</v>
      </c>
    </row>
    <row r="1270" spans="1:2" x14ac:dyDescent="0.25">
      <c r="A1270" t="str">
        <v>Skovbrovej 22, 5400 Bogense</v>
      </c>
      <c r="B1270">
        <v>5443815</v>
      </c>
    </row>
    <row r="1271" spans="1:2" x14ac:dyDescent="0.25">
      <c r="A1271" t="str">
        <v>Skovbrovej 14, 5400 Bogense</v>
      </c>
      <c r="B1271">
        <v>5443816</v>
      </c>
    </row>
    <row r="1272" spans="1:2" x14ac:dyDescent="0.25">
      <c r="A1272" t="str">
        <v>Skovbrovej 18, 5400 Bogense</v>
      </c>
      <c r="B1272">
        <v>5443817</v>
      </c>
    </row>
    <row r="1273" spans="1:2" x14ac:dyDescent="0.25">
      <c r="A1273" t="str">
        <v>Skovbrovej 20, 5400 Bogense</v>
      </c>
      <c r="B1273">
        <v>5443818</v>
      </c>
    </row>
    <row r="1274" spans="1:2" x14ac:dyDescent="0.25">
      <c r="A1274" t="str">
        <v>Skovbrovej 19, 5400 Bogense</v>
      </c>
      <c r="B1274">
        <v>5443819</v>
      </c>
    </row>
    <row r="1275" spans="1:2" x14ac:dyDescent="0.25">
      <c r="A1275" t="str">
        <v>Søndermarksvej 11, 5400 Bogense</v>
      </c>
      <c r="B1275">
        <v>5443820</v>
      </c>
    </row>
    <row r="1276" spans="1:2" x14ac:dyDescent="0.25">
      <c r="A1276" t="str">
        <v>Skovbrovej 16, 5400 Bogense</v>
      </c>
      <c r="B1276">
        <v>5443822</v>
      </c>
    </row>
    <row r="1277" spans="1:2" x14ac:dyDescent="0.25">
      <c r="A1277" t="str">
        <v>Mejerivej 8A, 5400 Bogense</v>
      </c>
      <c r="B1277">
        <v>5443823</v>
      </c>
    </row>
    <row r="1278" spans="1:2" x14ac:dyDescent="0.25">
      <c r="A1278" t="str">
        <v>Mejerivej 8A, 1., 5400 Bogense</v>
      </c>
      <c r="B1278">
        <v>5443823</v>
      </c>
    </row>
    <row r="1279" spans="1:2" x14ac:dyDescent="0.25">
      <c r="A1279" t="str">
        <v>Mejerivej 8A, st., 5400 Bogense</v>
      </c>
      <c r="B1279">
        <v>5443823</v>
      </c>
    </row>
    <row r="1280" spans="1:2" x14ac:dyDescent="0.25">
      <c r="A1280" t="str">
        <v>Mejerivej 10, 5400 Bogense</v>
      </c>
      <c r="B1280">
        <v>5443824</v>
      </c>
    </row>
    <row r="1281" spans="1:2" x14ac:dyDescent="0.25">
      <c r="A1281">
        <v>0</v>
      </c>
      <c r="B1281">
        <v>5443826</v>
      </c>
    </row>
    <row r="1282" spans="1:2" x14ac:dyDescent="0.25">
      <c r="A1282">
        <v>0</v>
      </c>
      <c r="B1282">
        <v>5443827</v>
      </c>
    </row>
    <row r="1283" spans="1:2" x14ac:dyDescent="0.25">
      <c r="A1283" t="str">
        <v>Plantagevænget 1, 5400 Bogense</v>
      </c>
      <c r="B1283">
        <v>5443828</v>
      </c>
    </row>
    <row r="1284" spans="1:2" x14ac:dyDescent="0.25">
      <c r="A1284" t="str">
        <v>Plantagevænget 3, 5400 Bogense</v>
      </c>
      <c r="B1284">
        <v>5443829</v>
      </c>
    </row>
    <row r="1285" spans="1:2" x14ac:dyDescent="0.25">
      <c r="A1285" t="str">
        <v>Plantagevænget 5, 5400 Bogense</v>
      </c>
      <c r="B1285">
        <v>5443830</v>
      </c>
    </row>
    <row r="1286" spans="1:2" x14ac:dyDescent="0.25">
      <c r="A1286" t="str">
        <v>Plantagevænget 7, 5400 Bogense</v>
      </c>
      <c r="B1286">
        <v>5443831</v>
      </c>
    </row>
    <row r="1287" spans="1:2" x14ac:dyDescent="0.25">
      <c r="A1287" t="str">
        <v>Plantagevænget 9, 5400 Bogense</v>
      </c>
      <c r="B1287">
        <v>5443832</v>
      </c>
    </row>
    <row r="1288" spans="1:2" x14ac:dyDescent="0.25">
      <c r="A1288" t="str">
        <v>Plantagevænget 10, 5400 Bogense</v>
      </c>
      <c r="B1288">
        <v>5443833</v>
      </c>
    </row>
    <row r="1289" spans="1:2" x14ac:dyDescent="0.25">
      <c r="A1289" t="str">
        <v>Plantagevænget 8, 5400 Bogense</v>
      </c>
      <c r="B1289">
        <v>5443834</v>
      </c>
    </row>
    <row r="1290" spans="1:2" x14ac:dyDescent="0.25">
      <c r="A1290" t="str">
        <v>Plantagevænget 6, 5400 Bogense</v>
      </c>
      <c r="B1290">
        <v>5443835</v>
      </c>
    </row>
    <row r="1291" spans="1:2" x14ac:dyDescent="0.25">
      <c r="A1291" t="str">
        <v>Plantagevænget 4, 5400 Bogense</v>
      </c>
      <c r="B1291">
        <v>5443836</v>
      </c>
    </row>
    <row r="1292" spans="1:2" x14ac:dyDescent="0.25">
      <c r="A1292" t="str">
        <v>Plantagevænget 2, 5400 Bogense</v>
      </c>
      <c r="B1292">
        <v>5443837</v>
      </c>
    </row>
    <row r="1293" spans="1:2" x14ac:dyDescent="0.25">
      <c r="A1293" t="str">
        <v>Skovbrovej 23, 5400 Bogense</v>
      </c>
      <c r="B1293">
        <v>5443838</v>
      </c>
    </row>
    <row r="1294" spans="1:2" x14ac:dyDescent="0.25">
      <c r="A1294" t="str">
        <v>Rugvænget 6, 5400 Bogense</v>
      </c>
      <c r="B1294">
        <v>5443839</v>
      </c>
    </row>
    <row r="1295" spans="1:2" x14ac:dyDescent="0.25">
      <c r="A1295" t="str">
        <v>Rugvænget 5, 5400 Bogense</v>
      </c>
      <c r="B1295">
        <v>5443840</v>
      </c>
    </row>
    <row r="1296" spans="1:2" x14ac:dyDescent="0.25">
      <c r="A1296" t="str">
        <v>Havrevænget 6, 5400 Bogense</v>
      </c>
      <c r="B1296">
        <v>5443841</v>
      </c>
    </row>
    <row r="1297" spans="1:2" x14ac:dyDescent="0.25">
      <c r="A1297" t="str">
        <v>Havrevænget 5, 5400 Bogense</v>
      </c>
      <c r="B1297">
        <v>5443842</v>
      </c>
    </row>
    <row r="1298" spans="1:2" x14ac:dyDescent="0.25">
      <c r="A1298" t="str">
        <v>Rugvænget 4, 5400 Bogense</v>
      </c>
      <c r="B1298">
        <v>5443843</v>
      </c>
    </row>
    <row r="1299" spans="1:2" x14ac:dyDescent="0.25">
      <c r="A1299" t="str">
        <v>Rugvænget 3, 5400 Bogense</v>
      </c>
      <c r="B1299">
        <v>5443844</v>
      </c>
    </row>
    <row r="1300" spans="1:2" x14ac:dyDescent="0.25">
      <c r="A1300" t="str">
        <v>Havrevænget 4, 5400 Bogense</v>
      </c>
      <c r="B1300">
        <v>5443845</v>
      </c>
    </row>
    <row r="1301" spans="1:2" x14ac:dyDescent="0.25">
      <c r="A1301" t="str">
        <v>Havrevænget 3, 5400 Bogense</v>
      </c>
      <c r="B1301">
        <v>5443846</v>
      </c>
    </row>
    <row r="1302" spans="1:2" x14ac:dyDescent="0.25">
      <c r="A1302" t="str">
        <v>Rugvænget 2, 5400 Bogense</v>
      </c>
      <c r="B1302">
        <v>5443847</v>
      </c>
    </row>
    <row r="1303" spans="1:2" x14ac:dyDescent="0.25">
      <c r="A1303" t="str">
        <v>Kornmarken 2, 5400 Bogense</v>
      </c>
      <c r="B1303">
        <v>5443848</v>
      </c>
    </row>
    <row r="1304" spans="1:2" x14ac:dyDescent="0.25">
      <c r="A1304" t="str">
        <v>Havrevænget 2, 5400 Bogense</v>
      </c>
      <c r="B1304">
        <v>5443849</v>
      </c>
    </row>
    <row r="1305" spans="1:2" x14ac:dyDescent="0.25">
      <c r="A1305" t="str">
        <v>Havrevænget 1, 5400 Bogense</v>
      </c>
      <c r="B1305">
        <v>5443850</v>
      </c>
    </row>
    <row r="1306" spans="1:2" x14ac:dyDescent="0.25">
      <c r="A1306" t="str">
        <v>Kornmarken 1, 5400 Bogense</v>
      </c>
      <c r="B1306">
        <v>5443851</v>
      </c>
    </row>
    <row r="1307" spans="1:2" x14ac:dyDescent="0.25">
      <c r="A1307" t="str">
        <v>Kornmarken 3, 5400 Bogense</v>
      </c>
      <c r="B1307">
        <v>5443852</v>
      </c>
    </row>
    <row r="1308" spans="1:2" x14ac:dyDescent="0.25">
      <c r="A1308" t="str">
        <v>Kornmarken 5, 5400 Bogense</v>
      </c>
      <c r="B1308">
        <v>5443853</v>
      </c>
    </row>
    <row r="1309" spans="1:2" x14ac:dyDescent="0.25">
      <c r="A1309" t="str">
        <v>Kornmarken 7, 5400 Bogense</v>
      </c>
      <c r="B1309">
        <v>5443854</v>
      </c>
    </row>
    <row r="1310" spans="1:2" x14ac:dyDescent="0.25">
      <c r="A1310" t="str">
        <v>Kornmarken 9, 5400 Bogense</v>
      </c>
      <c r="B1310">
        <v>5443855</v>
      </c>
    </row>
    <row r="1311" spans="1:2" x14ac:dyDescent="0.25">
      <c r="A1311" t="str">
        <v>Kornmarken 11, 5400 Bogense</v>
      </c>
      <c r="B1311">
        <v>5443856</v>
      </c>
    </row>
    <row r="1312" spans="1:2" x14ac:dyDescent="0.25">
      <c r="A1312" t="str">
        <v>Kornmarken 13, 5400 Bogense</v>
      </c>
      <c r="B1312">
        <v>5443857</v>
      </c>
    </row>
    <row r="1313" spans="1:2" x14ac:dyDescent="0.25">
      <c r="A1313" t="str">
        <v>Kløvervænget 8, 5400 Bogense</v>
      </c>
      <c r="B1313">
        <v>5443858</v>
      </c>
    </row>
    <row r="1314" spans="1:2" x14ac:dyDescent="0.25">
      <c r="A1314" t="str">
        <v>Kornmarken 23, 5400 Bogense</v>
      </c>
      <c r="B1314">
        <v>5443859</v>
      </c>
    </row>
    <row r="1315" spans="1:2" x14ac:dyDescent="0.25">
      <c r="A1315" t="str">
        <v>Kløvervænget 11, 5400 Bogense</v>
      </c>
      <c r="B1315">
        <v>5443860</v>
      </c>
    </row>
    <row r="1316" spans="1:2" x14ac:dyDescent="0.25">
      <c r="A1316" t="str">
        <v>Kløvervænget 9, 5400 Bogense</v>
      </c>
      <c r="B1316">
        <v>5443861</v>
      </c>
    </row>
    <row r="1317" spans="1:2" x14ac:dyDescent="0.25">
      <c r="A1317" t="str">
        <v>Kløvervænget 2, 5400 Bogense</v>
      </c>
      <c r="B1317">
        <v>5443862</v>
      </c>
    </row>
    <row r="1318" spans="1:2" x14ac:dyDescent="0.25">
      <c r="A1318" t="str">
        <v>Kløvervænget 4, 5400 Bogense</v>
      </c>
      <c r="B1318">
        <v>5443863</v>
      </c>
    </row>
    <row r="1319" spans="1:2" x14ac:dyDescent="0.25">
      <c r="A1319" t="str">
        <v>Kløvervænget 6, 5400 Bogense</v>
      </c>
      <c r="B1319">
        <v>5443864</v>
      </c>
    </row>
    <row r="1320" spans="1:2" x14ac:dyDescent="0.25">
      <c r="A1320" t="str">
        <v>Høtoften 2, 5400 Bogense</v>
      </c>
      <c r="B1320">
        <v>5443865</v>
      </c>
    </row>
    <row r="1321" spans="1:2" x14ac:dyDescent="0.25">
      <c r="A1321" t="str">
        <v>Kløvervænget 3, 5400 Bogense</v>
      </c>
      <c r="B1321">
        <v>5443866</v>
      </c>
    </row>
    <row r="1322" spans="1:2" x14ac:dyDescent="0.25">
      <c r="A1322" t="str">
        <v>Kløvervænget 5, 5400 Bogense</v>
      </c>
      <c r="B1322">
        <v>5443867</v>
      </c>
    </row>
    <row r="1323" spans="1:2" x14ac:dyDescent="0.25">
      <c r="A1323" t="str">
        <v>Kløvervænget 7, 5400 Bogense</v>
      </c>
      <c r="B1323">
        <v>5443868</v>
      </c>
    </row>
    <row r="1324" spans="1:2" x14ac:dyDescent="0.25">
      <c r="A1324" t="str">
        <v>Høtoften 4, 5400 Bogense</v>
      </c>
      <c r="B1324">
        <v>5443869</v>
      </c>
    </row>
    <row r="1325" spans="1:2" x14ac:dyDescent="0.25">
      <c r="A1325" t="str">
        <v>Høtoften 6, 5400 Bogense</v>
      </c>
      <c r="B1325">
        <v>5443870</v>
      </c>
    </row>
    <row r="1326" spans="1:2" x14ac:dyDescent="0.25">
      <c r="A1326" t="str">
        <v>Høtoften 8, 5400 Bogense</v>
      </c>
      <c r="B1326">
        <v>5443871</v>
      </c>
    </row>
    <row r="1327" spans="1:2" x14ac:dyDescent="0.25">
      <c r="A1327" t="str">
        <v>Høtoften 1, 5400 Bogense</v>
      </c>
      <c r="B1327">
        <v>5443872</v>
      </c>
    </row>
    <row r="1328" spans="1:2" x14ac:dyDescent="0.25">
      <c r="A1328" t="str">
        <v>Høtoften 3, 5400 Bogense</v>
      </c>
      <c r="B1328">
        <v>5443873</v>
      </c>
    </row>
    <row r="1329" spans="1:2" x14ac:dyDescent="0.25">
      <c r="A1329" t="str">
        <v>Høtoften 5, 5400 Bogense</v>
      </c>
      <c r="B1329">
        <v>5443874</v>
      </c>
    </row>
    <row r="1330" spans="1:2" x14ac:dyDescent="0.25">
      <c r="A1330" t="str">
        <v>Kornmarken 10A, 5400 Bogense</v>
      </c>
      <c r="B1330">
        <v>5443875</v>
      </c>
    </row>
    <row r="1331" spans="1:2" x14ac:dyDescent="0.25">
      <c r="A1331" t="str">
        <v>Kornmarken 10B, 5400 Bogense</v>
      </c>
      <c r="B1331">
        <v>5443875</v>
      </c>
    </row>
    <row r="1332" spans="1:2" x14ac:dyDescent="0.25">
      <c r="A1332" t="str">
        <v>Kornmarken 10C, 5400 Bogense</v>
      </c>
      <c r="B1332">
        <v>5443875</v>
      </c>
    </row>
    <row r="1333" spans="1:2" x14ac:dyDescent="0.25">
      <c r="A1333" t="str">
        <v>Kornmarken 10D, 5400 Bogense</v>
      </c>
      <c r="B1333">
        <v>5443875</v>
      </c>
    </row>
    <row r="1334" spans="1:2" x14ac:dyDescent="0.25">
      <c r="A1334" t="str">
        <v>Kornmarken 12A, 5400 Bogense</v>
      </c>
      <c r="B1334">
        <v>5443875</v>
      </c>
    </row>
    <row r="1335" spans="1:2" x14ac:dyDescent="0.25">
      <c r="A1335" t="str">
        <v>Kornmarken 12B, 5400 Bogense</v>
      </c>
      <c r="B1335">
        <v>5443875</v>
      </c>
    </row>
    <row r="1336" spans="1:2" x14ac:dyDescent="0.25">
      <c r="A1336" t="str">
        <v>Kornmarken 12C, 5400 Bogense</v>
      </c>
      <c r="B1336">
        <v>5443875</v>
      </c>
    </row>
    <row r="1337" spans="1:2" x14ac:dyDescent="0.25">
      <c r="A1337" t="str">
        <v>Kornmarken 12D, 5400 Bogense</v>
      </c>
      <c r="B1337">
        <v>5443875</v>
      </c>
    </row>
    <row r="1338" spans="1:2" x14ac:dyDescent="0.25">
      <c r="A1338" t="str">
        <v>Kornmarken 14A, 5400 Bogense</v>
      </c>
      <c r="B1338">
        <v>5443875</v>
      </c>
    </row>
    <row r="1339" spans="1:2" x14ac:dyDescent="0.25">
      <c r="A1339" t="str">
        <v>Kornmarken 14B, 5400 Bogense</v>
      </c>
      <c r="B1339">
        <v>5443875</v>
      </c>
    </row>
    <row r="1340" spans="1:2" x14ac:dyDescent="0.25">
      <c r="A1340" t="str">
        <v>Kornmarken 14C, 5400 Bogense</v>
      </c>
      <c r="B1340">
        <v>5443875</v>
      </c>
    </row>
    <row r="1341" spans="1:2" x14ac:dyDescent="0.25">
      <c r="A1341" t="str">
        <v>Kornmarken 14D, 5400 Bogense</v>
      </c>
      <c r="B1341">
        <v>5443875</v>
      </c>
    </row>
    <row r="1342" spans="1:2" x14ac:dyDescent="0.25">
      <c r="A1342" t="str">
        <v>Kornmarken 16A, 5400 Bogense</v>
      </c>
      <c r="B1342">
        <v>5443875</v>
      </c>
    </row>
    <row r="1343" spans="1:2" x14ac:dyDescent="0.25">
      <c r="A1343" t="str">
        <v>Kornmarken 16B, 5400 Bogense</v>
      </c>
      <c r="B1343">
        <v>5443875</v>
      </c>
    </row>
    <row r="1344" spans="1:2" x14ac:dyDescent="0.25">
      <c r="A1344" t="str">
        <v>Kornmarken 16C, 5400 Bogense</v>
      </c>
      <c r="B1344">
        <v>5443875</v>
      </c>
    </row>
    <row r="1345" spans="1:2" x14ac:dyDescent="0.25">
      <c r="A1345" t="str">
        <v>Kornmarken 16D, 5400 Bogense</v>
      </c>
      <c r="B1345">
        <v>5443875</v>
      </c>
    </row>
    <row r="1346" spans="1:2" x14ac:dyDescent="0.25">
      <c r="A1346" t="str">
        <v>Kornmarken 18A, 5400 Bogense</v>
      </c>
      <c r="B1346">
        <v>5443875</v>
      </c>
    </row>
    <row r="1347" spans="1:2" x14ac:dyDescent="0.25">
      <c r="A1347" t="str">
        <v>Kornmarken 18B, 5400 Bogense</v>
      </c>
      <c r="B1347">
        <v>5443875</v>
      </c>
    </row>
    <row r="1348" spans="1:2" x14ac:dyDescent="0.25">
      <c r="A1348" t="str">
        <v>Kornmarken 18C, 5400 Bogense</v>
      </c>
      <c r="B1348">
        <v>5443875</v>
      </c>
    </row>
    <row r="1349" spans="1:2" x14ac:dyDescent="0.25">
      <c r="A1349" t="str">
        <v>Kornmarken 18D, 5400 Bogense</v>
      </c>
      <c r="B1349">
        <v>5443875</v>
      </c>
    </row>
    <row r="1350" spans="1:2" x14ac:dyDescent="0.25">
      <c r="A1350" t="str">
        <v>Kornmarken 8A, 5400 Bogense</v>
      </c>
      <c r="B1350">
        <v>5443875</v>
      </c>
    </row>
    <row r="1351" spans="1:2" x14ac:dyDescent="0.25">
      <c r="A1351" t="str">
        <v>Kornmarken 8B, 5400 Bogense</v>
      </c>
      <c r="B1351">
        <v>5443875</v>
      </c>
    </row>
    <row r="1352" spans="1:2" x14ac:dyDescent="0.25">
      <c r="A1352" t="str">
        <v>Kornmarken 8C, 5400 Bogense</v>
      </c>
      <c r="B1352">
        <v>5443875</v>
      </c>
    </row>
    <row r="1353" spans="1:2" x14ac:dyDescent="0.25">
      <c r="A1353" t="str">
        <v>Kornmarken 8D, 5400 Bogense</v>
      </c>
      <c r="B1353">
        <v>5443875</v>
      </c>
    </row>
    <row r="1354" spans="1:2" x14ac:dyDescent="0.25">
      <c r="A1354" t="str">
        <v>Odensevej 7, 5400 Bogense</v>
      </c>
      <c r="B1354">
        <v>5443876</v>
      </c>
    </row>
    <row r="1355" spans="1:2" x14ac:dyDescent="0.25">
      <c r="A1355" t="str">
        <v>Skovbrovej 9B, 5400 Bogense</v>
      </c>
      <c r="B1355">
        <v>287614</v>
      </c>
    </row>
    <row r="1356" spans="1:2" x14ac:dyDescent="0.25">
      <c r="A1356" t="str">
        <v>Skovbrovej 9C, 5400 Bogense</v>
      </c>
      <c r="B1356">
        <v>287615</v>
      </c>
    </row>
    <row r="1357" spans="1:2" x14ac:dyDescent="0.25">
      <c r="A1357" t="str">
        <v>Skovbrovej 9B, 5400 Bogense</v>
      </c>
      <c r="B1357">
        <v>5443877</v>
      </c>
    </row>
    <row r="1358" spans="1:2" x14ac:dyDescent="0.25">
      <c r="A1358" t="str">
        <v>Skovbrovej 9A, 5400 Bogense</v>
      </c>
      <c r="B1358">
        <v>5443878</v>
      </c>
    </row>
    <row r="1359" spans="1:2" x14ac:dyDescent="0.25">
      <c r="A1359" t="str">
        <v>Drosselvænget 7, 5400 Bogense</v>
      </c>
      <c r="B1359">
        <v>5443880</v>
      </c>
    </row>
    <row r="1360" spans="1:2" x14ac:dyDescent="0.25">
      <c r="A1360" t="str">
        <v>Drosselvænget 8, 5400 Bogense</v>
      </c>
      <c r="B1360">
        <v>5443881</v>
      </c>
    </row>
    <row r="1361" spans="1:2" x14ac:dyDescent="0.25">
      <c r="A1361" t="str">
        <v>Lærkevænget 7, 5400 Bogense</v>
      </c>
      <c r="B1361">
        <v>5443882</v>
      </c>
    </row>
    <row r="1362" spans="1:2" x14ac:dyDescent="0.25">
      <c r="A1362" t="str">
        <v>Lærkevænget 8, 5400 Bogense</v>
      </c>
      <c r="B1362">
        <v>5443883</v>
      </c>
    </row>
    <row r="1363" spans="1:2" x14ac:dyDescent="0.25">
      <c r="A1363" t="str">
        <v>Løvsangervænget 7, 5400 Bogense</v>
      </c>
      <c r="B1363">
        <v>5443884</v>
      </c>
    </row>
    <row r="1364" spans="1:2" x14ac:dyDescent="0.25">
      <c r="A1364" t="str">
        <v>Løvsangervænget 16, 5400 Bogense</v>
      </c>
      <c r="B1364">
        <v>5443885</v>
      </c>
    </row>
    <row r="1365" spans="1:2" x14ac:dyDescent="0.25">
      <c r="A1365" t="str">
        <v>Løvsangervænget 14, 5400 Bogense</v>
      </c>
      <c r="B1365">
        <v>5443886</v>
      </c>
    </row>
    <row r="1366" spans="1:2" x14ac:dyDescent="0.25">
      <c r="A1366" t="str">
        <v>Mejsevænget 7, 5400 Bogense</v>
      </c>
      <c r="B1366">
        <v>5443887</v>
      </c>
    </row>
    <row r="1367" spans="1:2" x14ac:dyDescent="0.25">
      <c r="A1367" t="str">
        <v>Mejsevænget 16, 5400 Bogense</v>
      </c>
      <c r="B1367">
        <v>5443888</v>
      </c>
    </row>
    <row r="1368" spans="1:2" x14ac:dyDescent="0.25">
      <c r="A1368" t="str">
        <v>Mejsevænget 14, 5400 Bogense</v>
      </c>
      <c r="B1368">
        <v>5443889</v>
      </c>
    </row>
    <row r="1369" spans="1:2" x14ac:dyDescent="0.25">
      <c r="A1369" t="str">
        <v>Mejsevænget 12, 5400 Bogense</v>
      </c>
      <c r="B1369">
        <v>5443890</v>
      </c>
    </row>
    <row r="1370" spans="1:2" x14ac:dyDescent="0.25">
      <c r="A1370" t="str">
        <v>Mejsevænget 10, 5400 Bogense</v>
      </c>
      <c r="B1370">
        <v>5443891</v>
      </c>
    </row>
    <row r="1371" spans="1:2" x14ac:dyDescent="0.25">
      <c r="A1371" t="str">
        <v>Mejsevænget 5, 5400 Bogense</v>
      </c>
      <c r="B1371">
        <v>5443892</v>
      </c>
    </row>
    <row r="1372" spans="1:2" x14ac:dyDescent="0.25">
      <c r="A1372" t="str">
        <v>Løvsangervænget 12, 5400 Bogense</v>
      </c>
      <c r="B1372">
        <v>5443893</v>
      </c>
    </row>
    <row r="1373" spans="1:2" x14ac:dyDescent="0.25">
      <c r="A1373" t="str">
        <v>Løvsangervænget 10, 5400 Bogense</v>
      </c>
      <c r="B1373">
        <v>5443894</v>
      </c>
    </row>
    <row r="1374" spans="1:2" x14ac:dyDescent="0.25">
      <c r="A1374" t="str">
        <v>Løvsangervænget 5, 5400 Bogense</v>
      </c>
      <c r="B1374">
        <v>5443895</v>
      </c>
    </row>
    <row r="1375" spans="1:2" x14ac:dyDescent="0.25">
      <c r="A1375" t="str">
        <v>Lærkevænget 6, 5400 Bogense</v>
      </c>
      <c r="B1375">
        <v>5443896</v>
      </c>
    </row>
    <row r="1376" spans="1:2" x14ac:dyDescent="0.25">
      <c r="A1376" t="str">
        <v>Lærkevænget 5, 5400 Bogense</v>
      </c>
      <c r="B1376">
        <v>5443897</v>
      </c>
    </row>
    <row r="1377" spans="1:2" x14ac:dyDescent="0.25">
      <c r="A1377" t="str">
        <v>Drosselvænget 6, 5400 Bogense</v>
      </c>
      <c r="B1377">
        <v>5443898</v>
      </c>
    </row>
    <row r="1378" spans="1:2" x14ac:dyDescent="0.25">
      <c r="A1378" t="str">
        <v>Drosselvænget 5, 5400 Bogense</v>
      </c>
      <c r="B1378">
        <v>5443899</v>
      </c>
    </row>
    <row r="1379" spans="1:2" x14ac:dyDescent="0.25">
      <c r="A1379" t="str">
        <v>Drosselvænget 3, 5400 Bogense</v>
      </c>
      <c r="B1379">
        <v>5443900</v>
      </c>
    </row>
    <row r="1380" spans="1:2" x14ac:dyDescent="0.25">
      <c r="A1380" t="str">
        <v>Drosselvænget 4, 5400 Bogense</v>
      </c>
      <c r="B1380">
        <v>5443901</v>
      </c>
    </row>
    <row r="1381" spans="1:2" x14ac:dyDescent="0.25">
      <c r="A1381" t="str">
        <v>Lærkevænget 3, 5400 Bogense</v>
      </c>
      <c r="B1381">
        <v>5443902</v>
      </c>
    </row>
    <row r="1382" spans="1:2" x14ac:dyDescent="0.25">
      <c r="A1382" t="str">
        <v>Lærkevænget 4, 5400 Bogense</v>
      </c>
      <c r="B1382">
        <v>5443903</v>
      </c>
    </row>
    <row r="1383" spans="1:2" x14ac:dyDescent="0.25">
      <c r="A1383" t="str">
        <v>Løvsangervænget 3, 5400 Bogense</v>
      </c>
      <c r="B1383">
        <v>5443904</v>
      </c>
    </row>
    <row r="1384" spans="1:2" x14ac:dyDescent="0.25">
      <c r="A1384" t="str">
        <v>Løvsangervænget 8, 5400 Bogense</v>
      </c>
      <c r="B1384">
        <v>5443905</v>
      </c>
    </row>
    <row r="1385" spans="1:2" x14ac:dyDescent="0.25">
      <c r="A1385" t="str">
        <v>Løvsangervænget 6, 5400 Bogense</v>
      </c>
      <c r="B1385">
        <v>5443906</v>
      </c>
    </row>
    <row r="1386" spans="1:2" x14ac:dyDescent="0.25">
      <c r="A1386" t="str">
        <v>Mejsevænget 3, 5400 Bogense</v>
      </c>
      <c r="B1386">
        <v>5443907</v>
      </c>
    </row>
    <row r="1387" spans="1:2" x14ac:dyDescent="0.25">
      <c r="A1387" t="str">
        <v>Mejsevænget 8, 5400 Bogense</v>
      </c>
      <c r="B1387">
        <v>5443908</v>
      </c>
    </row>
    <row r="1388" spans="1:2" x14ac:dyDescent="0.25">
      <c r="A1388" t="str">
        <v>Mejsevænget 6, 5400 Bogense</v>
      </c>
      <c r="B1388">
        <v>5443909</v>
      </c>
    </row>
    <row r="1389" spans="1:2" x14ac:dyDescent="0.25">
      <c r="A1389" t="str">
        <v>Mejsevænget 4, 5400 Bogense</v>
      </c>
      <c r="B1389">
        <v>5443910</v>
      </c>
    </row>
    <row r="1390" spans="1:2" x14ac:dyDescent="0.25">
      <c r="A1390" t="str">
        <v>Mejsevænget 2, 5400 Bogense</v>
      </c>
      <c r="B1390">
        <v>5443911</v>
      </c>
    </row>
    <row r="1391" spans="1:2" x14ac:dyDescent="0.25">
      <c r="A1391" t="str">
        <v>Mejsevænget 1, 5400 Bogense</v>
      </c>
      <c r="B1391">
        <v>5443912</v>
      </c>
    </row>
    <row r="1392" spans="1:2" x14ac:dyDescent="0.25">
      <c r="A1392" t="str">
        <v>Løvsangervænget 4, 5400 Bogense</v>
      </c>
      <c r="B1392">
        <v>5443913</v>
      </c>
    </row>
    <row r="1393" spans="1:2" x14ac:dyDescent="0.25">
      <c r="A1393" t="str">
        <v>Løvsangervænget 2, 5400 Bogense</v>
      </c>
      <c r="B1393">
        <v>5443914</v>
      </c>
    </row>
    <row r="1394" spans="1:2" x14ac:dyDescent="0.25">
      <c r="A1394" t="str">
        <v>Løvsangervænget 1, 5400 Bogense</v>
      </c>
      <c r="B1394">
        <v>5443915</v>
      </c>
    </row>
    <row r="1395" spans="1:2" x14ac:dyDescent="0.25">
      <c r="A1395" t="str">
        <v>Lærkevænget 2, 5400 Bogense</v>
      </c>
      <c r="B1395">
        <v>5443916</v>
      </c>
    </row>
    <row r="1396" spans="1:2" x14ac:dyDescent="0.25">
      <c r="A1396" t="str">
        <v>Lærkevænget 1, 5400 Bogense</v>
      </c>
      <c r="B1396">
        <v>5443917</v>
      </c>
    </row>
    <row r="1397" spans="1:2" x14ac:dyDescent="0.25">
      <c r="A1397" t="str">
        <v>Drosselvænget 2, 5400 Bogense</v>
      </c>
      <c r="B1397">
        <v>5443918</v>
      </c>
    </row>
    <row r="1398" spans="1:2" x14ac:dyDescent="0.25">
      <c r="A1398" t="str">
        <v>Drosselvænget 1, 5400 Bogense</v>
      </c>
      <c r="B1398">
        <v>5443919</v>
      </c>
    </row>
    <row r="1399" spans="1:2" x14ac:dyDescent="0.25">
      <c r="A1399" t="str">
        <v>Kornmarken 21, 5400 Bogense</v>
      </c>
      <c r="B1399">
        <v>5443920</v>
      </c>
    </row>
    <row r="1400" spans="1:2" x14ac:dyDescent="0.25">
      <c r="A1400" t="str">
        <v>Kornmarken 19, 5400 Bogense</v>
      </c>
      <c r="B1400">
        <v>5443921</v>
      </c>
    </row>
    <row r="1401" spans="1:2" x14ac:dyDescent="0.25">
      <c r="A1401" t="str">
        <v>Kornmarken 17, 5400 Bogense</v>
      </c>
      <c r="B1401">
        <v>5443922</v>
      </c>
    </row>
    <row r="1402" spans="1:2" x14ac:dyDescent="0.25">
      <c r="A1402">
        <v>0</v>
      </c>
      <c r="B1402">
        <v>5443931</v>
      </c>
    </row>
    <row r="1403" spans="1:2" x14ac:dyDescent="0.25">
      <c r="A1403">
        <v>0</v>
      </c>
      <c r="B1403">
        <v>5443932</v>
      </c>
    </row>
    <row r="1404" spans="1:2" x14ac:dyDescent="0.25">
      <c r="A1404" t="str">
        <v>Sct. Anna Park 10, 1., 5400 Bogense</v>
      </c>
      <c r="B1404">
        <v>5443934</v>
      </c>
    </row>
    <row r="1405" spans="1:2" x14ac:dyDescent="0.25">
      <c r="A1405" t="str">
        <v>Sct. Anna Park 10, 2., 5400 Bogense</v>
      </c>
      <c r="B1405">
        <v>5443934</v>
      </c>
    </row>
    <row r="1406" spans="1:2" x14ac:dyDescent="0.25">
      <c r="A1406" t="str">
        <v>Sct. Anna Park 10, st., 5400 Bogense</v>
      </c>
      <c r="B1406">
        <v>5443934</v>
      </c>
    </row>
    <row r="1407" spans="1:2" x14ac:dyDescent="0.25">
      <c r="A1407" t="str">
        <v>Sct. Anna Park 12, 1., 5400 Bogense</v>
      </c>
      <c r="B1407">
        <v>5443934</v>
      </c>
    </row>
    <row r="1408" spans="1:2" x14ac:dyDescent="0.25">
      <c r="A1408" t="str">
        <v>Sct. Anna Park 12, 2., 5400 Bogense</v>
      </c>
      <c r="B1408">
        <v>5443934</v>
      </c>
    </row>
    <row r="1409" spans="1:2" x14ac:dyDescent="0.25">
      <c r="A1409" t="str">
        <v>Sct. Anna Park 12, st., 5400 Bogense</v>
      </c>
      <c r="B1409">
        <v>5443934</v>
      </c>
    </row>
    <row r="1410" spans="1:2" x14ac:dyDescent="0.25">
      <c r="A1410" t="str">
        <v>Sct. Anna Park 14, 1., 5400 Bogense</v>
      </c>
      <c r="B1410">
        <v>5443934</v>
      </c>
    </row>
    <row r="1411" spans="1:2" x14ac:dyDescent="0.25">
      <c r="A1411" t="str">
        <v>Sct. Anna Park 14, 2., 5400 Bogense</v>
      </c>
      <c r="B1411">
        <v>5443934</v>
      </c>
    </row>
    <row r="1412" spans="1:2" x14ac:dyDescent="0.25">
      <c r="A1412" t="str">
        <v>Sct. Anna Park 14, st., 5400 Bogense</v>
      </c>
      <c r="B1412">
        <v>5443934</v>
      </c>
    </row>
    <row r="1413" spans="1:2" x14ac:dyDescent="0.25">
      <c r="A1413" t="str">
        <v>Sct. Anna Park 16, 1., 5400 Bogense</v>
      </c>
      <c r="B1413">
        <v>5443934</v>
      </c>
    </row>
    <row r="1414" spans="1:2" x14ac:dyDescent="0.25">
      <c r="A1414" t="str">
        <v>Sct. Anna Park 16, 2., 5400 Bogense</v>
      </c>
      <c r="B1414">
        <v>5443934</v>
      </c>
    </row>
    <row r="1415" spans="1:2" x14ac:dyDescent="0.25">
      <c r="A1415" t="str">
        <v>Sct. Anna Park 16, st., 5400 Bogense</v>
      </c>
      <c r="B1415">
        <v>5443934</v>
      </c>
    </row>
    <row r="1416" spans="1:2" x14ac:dyDescent="0.25">
      <c r="A1416" t="str">
        <v>Sct. Anna Park 18, 1., 5400 Bogense</v>
      </c>
      <c r="B1416">
        <v>5443934</v>
      </c>
    </row>
    <row r="1417" spans="1:2" x14ac:dyDescent="0.25">
      <c r="A1417" t="str">
        <v>Sct. Anna Park 18, 2., 5400 Bogense</v>
      </c>
      <c r="B1417">
        <v>5443934</v>
      </c>
    </row>
    <row r="1418" spans="1:2" x14ac:dyDescent="0.25">
      <c r="A1418" t="str">
        <v>Sct. Anna Park 18, st., 5400 Bogense</v>
      </c>
      <c r="B1418">
        <v>5443934</v>
      </c>
    </row>
    <row r="1419" spans="1:2" x14ac:dyDescent="0.25">
      <c r="A1419" t="str">
        <v>Sct. Anna Park 2, 1., 5400 Bogense</v>
      </c>
      <c r="B1419">
        <v>5443934</v>
      </c>
    </row>
    <row r="1420" spans="1:2" x14ac:dyDescent="0.25">
      <c r="A1420" t="str">
        <v>Sct. Anna Park 2, 2., 5400 Bogense</v>
      </c>
      <c r="B1420">
        <v>5443934</v>
      </c>
    </row>
    <row r="1421" spans="1:2" x14ac:dyDescent="0.25">
      <c r="A1421" t="str">
        <v>Sct. Anna Park 2, st., 5400 Bogense</v>
      </c>
      <c r="B1421">
        <v>5443934</v>
      </c>
    </row>
    <row r="1422" spans="1:2" x14ac:dyDescent="0.25">
      <c r="A1422" t="str">
        <v>Sct. Anna Park 20, 1., 5400 Bogense</v>
      </c>
      <c r="B1422">
        <v>5443934</v>
      </c>
    </row>
    <row r="1423" spans="1:2" x14ac:dyDescent="0.25">
      <c r="A1423" t="str">
        <v>Sct. Anna Park 20, 2., 5400 Bogense</v>
      </c>
      <c r="B1423">
        <v>5443934</v>
      </c>
    </row>
    <row r="1424" spans="1:2" x14ac:dyDescent="0.25">
      <c r="A1424" t="str">
        <v>Sct. Anna Park 20, st., 5400 Bogense</v>
      </c>
      <c r="B1424">
        <v>5443934</v>
      </c>
    </row>
    <row r="1425" spans="1:2" x14ac:dyDescent="0.25">
      <c r="A1425" t="str">
        <v>Sct. Anna Park 22, 1., 5400 Bogense</v>
      </c>
      <c r="B1425">
        <v>5443934</v>
      </c>
    </row>
    <row r="1426" spans="1:2" x14ac:dyDescent="0.25">
      <c r="A1426" t="str">
        <v>Sct. Anna Park 22, 2., 5400 Bogense</v>
      </c>
      <c r="B1426">
        <v>5443934</v>
      </c>
    </row>
    <row r="1427" spans="1:2" x14ac:dyDescent="0.25">
      <c r="A1427" t="str">
        <v>Sct. Anna Park 22, st., 5400 Bogense</v>
      </c>
      <c r="B1427">
        <v>5443934</v>
      </c>
    </row>
    <row r="1428" spans="1:2" x14ac:dyDescent="0.25">
      <c r="A1428" t="str">
        <v>Sct. Anna Park 24, 1., 5400 Bogense</v>
      </c>
      <c r="B1428">
        <v>5443934</v>
      </c>
    </row>
    <row r="1429" spans="1:2" x14ac:dyDescent="0.25">
      <c r="A1429" t="str">
        <v>Sct. Anna Park 24, 2., 5400 Bogense</v>
      </c>
      <c r="B1429">
        <v>5443934</v>
      </c>
    </row>
    <row r="1430" spans="1:2" x14ac:dyDescent="0.25">
      <c r="A1430" t="str">
        <v>Sct. Anna Park 24, st., 5400 Bogense</v>
      </c>
      <c r="B1430">
        <v>5443934</v>
      </c>
    </row>
    <row r="1431" spans="1:2" x14ac:dyDescent="0.25">
      <c r="A1431" t="str">
        <v>Sct. Anna Park 4, 1., 5400 Bogense</v>
      </c>
      <c r="B1431">
        <v>5443934</v>
      </c>
    </row>
    <row r="1432" spans="1:2" x14ac:dyDescent="0.25">
      <c r="A1432" t="str">
        <v>Sct. Anna Park 4, 2., 5400 Bogense</v>
      </c>
      <c r="B1432">
        <v>5443934</v>
      </c>
    </row>
    <row r="1433" spans="1:2" x14ac:dyDescent="0.25">
      <c r="A1433" t="str">
        <v>Sct. Anna Park 4, st., 5400 Bogense</v>
      </c>
      <c r="B1433">
        <v>5443934</v>
      </c>
    </row>
    <row r="1434" spans="1:2" x14ac:dyDescent="0.25">
      <c r="A1434" t="str">
        <v>Sct. Anna Park 6, 1., 5400 Bogense</v>
      </c>
      <c r="B1434">
        <v>5443934</v>
      </c>
    </row>
    <row r="1435" spans="1:2" x14ac:dyDescent="0.25">
      <c r="A1435" t="str">
        <v>Sct. Anna Park 6, 2., 5400 Bogense</v>
      </c>
      <c r="B1435">
        <v>5443934</v>
      </c>
    </row>
    <row r="1436" spans="1:2" x14ac:dyDescent="0.25">
      <c r="A1436" t="str">
        <v>Sct. Anna Park 6, st., 5400 Bogense</v>
      </c>
      <c r="B1436">
        <v>5443934</v>
      </c>
    </row>
    <row r="1437" spans="1:2" x14ac:dyDescent="0.25">
      <c r="A1437" t="str">
        <v>Sct. Anna Park 8, 1., 5400 Bogense</v>
      </c>
      <c r="B1437">
        <v>5443934</v>
      </c>
    </row>
    <row r="1438" spans="1:2" x14ac:dyDescent="0.25">
      <c r="A1438" t="str">
        <v>Sct. Anna Park 8, 2., 5400 Bogense</v>
      </c>
      <c r="B1438">
        <v>5443934</v>
      </c>
    </row>
    <row r="1439" spans="1:2" x14ac:dyDescent="0.25">
      <c r="A1439" t="str">
        <v>Sct. Anna Park 8, st., 5400 Bogense</v>
      </c>
      <c r="B1439">
        <v>5443934</v>
      </c>
    </row>
    <row r="1440" spans="1:2" x14ac:dyDescent="0.25">
      <c r="A1440" t="str">
        <v>Rolighedsvej 16, 5400 Bogense</v>
      </c>
      <c r="B1440">
        <v>287616</v>
      </c>
    </row>
    <row r="1441" spans="1:2" x14ac:dyDescent="0.25">
      <c r="A1441" t="str">
        <v>Rolighedsvej 16A, 1. 1, 5400 Bogense</v>
      </c>
      <c r="B1441">
        <v>287617</v>
      </c>
    </row>
    <row r="1442" spans="1:2" x14ac:dyDescent="0.25">
      <c r="A1442" t="str">
        <v>Rolighedsvej 16A, 1. 10, 5400 Bogense</v>
      </c>
      <c r="B1442">
        <v>287617</v>
      </c>
    </row>
    <row r="1443" spans="1:2" x14ac:dyDescent="0.25">
      <c r="A1443" t="str">
        <v>Rolighedsvej 16A, 1. 11, 5400 Bogense</v>
      </c>
      <c r="B1443">
        <v>287617</v>
      </c>
    </row>
    <row r="1444" spans="1:2" x14ac:dyDescent="0.25">
      <c r="A1444" t="str">
        <v>Rolighedsvej 16A, 1. 12, 5400 Bogense</v>
      </c>
      <c r="B1444">
        <v>287617</v>
      </c>
    </row>
    <row r="1445" spans="1:2" x14ac:dyDescent="0.25">
      <c r="A1445" t="str">
        <v>Rolighedsvej 16A, 1. 2, 5400 Bogense</v>
      </c>
      <c r="B1445">
        <v>287617</v>
      </c>
    </row>
    <row r="1446" spans="1:2" x14ac:dyDescent="0.25">
      <c r="A1446" t="str">
        <v>Rolighedsvej 16A, 1. 3, 5400 Bogense</v>
      </c>
      <c r="B1446">
        <v>287617</v>
      </c>
    </row>
    <row r="1447" spans="1:2" x14ac:dyDescent="0.25">
      <c r="A1447" t="str">
        <v>Rolighedsvej 16A, 1. 4, 5400 Bogense</v>
      </c>
      <c r="B1447">
        <v>287617</v>
      </c>
    </row>
    <row r="1448" spans="1:2" x14ac:dyDescent="0.25">
      <c r="A1448" t="str">
        <v>Rolighedsvej 16A, 1. 5, 5400 Bogense</v>
      </c>
      <c r="B1448">
        <v>287617</v>
      </c>
    </row>
    <row r="1449" spans="1:2" x14ac:dyDescent="0.25">
      <c r="A1449" t="str">
        <v>Rolighedsvej 16A, 1. 6, 5400 Bogense</v>
      </c>
      <c r="B1449">
        <v>287617</v>
      </c>
    </row>
    <row r="1450" spans="1:2" x14ac:dyDescent="0.25">
      <c r="A1450" t="str">
        <v>Rolighedsvej 16A, 1. 7, 5400 Bogense</v>
      </c>
      <c r="B1450">
        <v>287617</v>
      </c>
    </row>
    <row r="1451" spans="1:2" x14ac:dyDescent="0.25">
      <c r="A1451" t="str">
        <v>Rolighedsvej 16A, 1. 8, 5400 Bogense</v>
      </c>
      <c r="B1451">
        <v>287617</v>
      </c>
    </row>
    <row r="1452" spans="1:2" x14ac:dyDescent="0.25">
      <c r="A1452" t="str">
        <v>Rolighedsvej 16A, 1. 9, 5400 Bogense</v>
      </c>
      <c r="B1452">
        <v>287617</v>
      </c>
    </row>
    <row r="1453" spans="1:2" x14ac:dyDescent="0.25">
      <c r="A1453" t="str">
        <v>Rolighedsvej 16A, 2. 1, 5400 Bogense</v>
      </c>
      <c r="B1453">
        <v>287617</v>
      </c>
    </row>
    <row r="1454" spans="1:2" x14ac:dyDescent="0.25">
      <c r="A1454" t="str">
        <v>Rolighedsvej 16A, 2. 10, 5400 Bogense</v>
      </c>
      <c r="B1454">
        <v>287617</v>
      </c>
    </row>
    <row r="1455" spans="1:2" x14ac:dyDescent="0.25">
      <c r="A1455" t="str">
        <v>Rolighedsvej 16A, 2. 11, 5400 Bogense</v>
      </c>
      <c r="B1455">
        <v>287617</v>
      </c>
    </row>
    <row r="1456" spans="1:2" x14ac:dyDescent="0.25">
      <c r="A1456" t="str">
        <v>Rolighedsvej 16A, 2. 12, 5400 Bogense</v>
      </c>
      <c r="B1456">
        <v>287617</v>
      </c>
    </row>
    <row r="1457" spans="1:2" x14ac:dyDescent="0.25">
      <c r="A1457" t="str">
        <v>Rolighedsvej 16A, 2. 2, 5400 Bogense</v>
      </c>
      <c r="B1457">
        <v>287617</v>
      </c>
    </row>
    <row r="1458" spans="1:2" x14ac:dyDescent="0.25">
      <c r="A1458" t="str">
        <v>Rolighedsvej 16A, 2. 3, 5400 Bogense</v>
      </c>
      <c r="B1458">
        <v>287617</v>
      </c>
    </row>
    <row r="1459" spans="1:2" x14ac:dyDescent="0.25">
      <c r="A1459" t="str">
        <v>Rolighedsvej 16A, 2. 4, 5400 Bogense</v>
      </c>
      <c r="B1459">
        <v>287617</v>
      </c>
    </row>
    <row r="1460" spans="1:2" x14ac:dyDescent="0.25">
      <c r="A1460" t="str">
        <v>Rolighedsvej 16A, 2. 5, 5400 Bogense</v>
      </c>
      <c r="B1460">
        <v>287617</v>
      </c>
    </row>
    <row r="1461" spans="1:2" x14ac:dyDescent="0.25">
      <c r="A1461" t="str">
        <v>Rolighedsvej 16A, 2. 6, 5400 Bogense</v>
      </c>
      <c r="B1461">
        <v>287617</v>
      </c>
    </row>
    <row r="1462" spans="1:2" x14ac:dyDescent="0.25">
      <c r="A1462" t="str">
        <v>Rolighedsvej 16A, 2. 7, 5400 Bogense</v>
      </c>
      <c r="B1462">
        <v>287617</v>
      </c>
    </row>
    <row r="1463" spans="1:2" x14ac:dyDescent="0.25">
      <c r="A1463" t="str">
        <v>Rolighedsvej 16A, 2. 8, 5400 Bogense</v>
      </c>
      <c r="B1463">
        <v>287617</v>
      </c>
    </row>
    <row r="1464" spans="1:2" x14ac:dyDescent="0.25">
      <c r="A1464" t="str">
        <v>Rolighedsvej 16A, 2. 9, 5400 Bogense</v>
      </c>
      <c r="B1464">
        <v>287617</v>
      </c>
    </row>
    <row r="1465" spans="1:2" x14ac:dyDescent="0.25">
      <c r="A1465" t="str">
        <v>Rolighedsvej 16A, st. 1, 5400 Bogense</v>
      </c>
      <c r="B1465">
        <v>287617</v>
      </c>
    </row>
    <row r="1466" spans="1:2" x14ac:dyDescent="0.25">
      <c r="A1466" t="str">
        <v>Rolighedsvej 16A, st. 2, 5400 Bogense</v>
      </c>
      <c r="B1466">
        <v>287617</v>
      </c>
    </row>
    <row r="1467" spans="1:2" x14ac:dyDescent="0.25">
      <c r="A1467" t="str">
        <v>Rolighedsvej 16A, st. 3, 5400 Bogense</v>
      </c>
      <c r="B1467">
        <v>287617</v>
      </c>
    </row>
    <row r="1468" spans="1:2" x14ac:dyDescent="0.25">
      <c r="A1468" t="str">
        <v>Rolighedsvej 16A, st. 4, 5400 Bogense</v>
      </c>
      <c r="B1468">
        <v>287617</v>
      </c>
    </row>
    <row r="1469" spans="1:2" x14ac:dyDescent="0.25">
      <c r="A1469" t="str">
        <v>Rolighedsvej 16A, st. 5, 5400 Bogense</v>
      </c>
      <c r="B1469">
        <v>287617</v>
      </c>
    </row>
    <row r="1470" spans="1:2" x14ac:dyDescent="0.25">
      <c r="A1470" t="str">
        <v>Rolighedsvej 16A, st. 6, 5400 Bogense</v>
      </c>
      <c r="B1470">
        <v>287617</v>
      </c>
    </row>
    <row r="1471" spans="1:2" x14ac:dyDescent="0.25">
      <c r="A1471" t="str">
        <v>Grønnevej 5, 5400 Bogense</v>
      </c>
      <c r="B1471">
        <v>5443940</v>
      </c>
    </row>
    <row r="1472" spans="1:2" x14ac:dyDescent="0.25">
      <c r="A1472" t="str">
        <v>Rolighedsvej 11, st. tv, 5400 Bogense</v>
      </c>
      <c r="B1472">
        <v>287618</v>
      </c>
    </row>
    <row r="1473" spans="1:2" x14ac:dyDescent="0.25">
      <c r="A1473" t="str">
        <v>Rolighedsvej 15, 1. th, 5400 Bogense</v>
      </c>
      <c r="B1473">
        <v>287619</v>
      </c>
    </row>
    <row r="1474" spans="1:2" x14ac:dyDescent="0.25">
      <c r="A1474" t="str">
        <v>Rolighedsvej 11, 1. tv, 5400 Bogense</v>
      </c>
      <c r="B1474">
        <v>287620</v>
      </c>
    </row>
    <row r="1475" spans="1:2" x14ac:dyDescent="0.25">
      <c r="A1475" t="str">
        <v>Rolighedsvej 11, st. th, 5400 Bogense</v>
      </c>
      <c r="B1475">
        <v>287621</v>
      </c>
    </row>
    <row r="1476" spans="1:2" x14ac:dyDescent="0.25">
      <c r="A1476" t="str">
        <v>Rolighedsvej 11, 1. th, 5400 Bogense</v>
      </c>
      <c r="B1476">
        <v>287622</v>
      </c>
    </row>
    <row r="1477" spans="1:2" x14ac:dyDescent="0.25">
      <c r="A1477" t="str">
        <v>Rolighedsvej 13, st., 5400 Bogense</v>
      </c>
      <c r="B1477">
        <v>287623</v>
      </c>
    </row>
    <row r="1478" spans="1:2" x14ac:dyDescent="0.25">
      <c r="A1478" t="str">
        <v>Rolighedsvej 13, 1., 5400 Bogense</v>
      </c>
      <c r="B1478">
        <v>287624</v>
      </c>
    </row>
    <row r="1479" spans="1:2" x14ac:dyDescent="0.25">
      <c r="A1479" t="str">
        <v>Rolighedsvej 15, st. tv, 5400 Bogense</v>
      </c>
      <c r="B1479">
        <v>287625</v>
      </c>
    </row>
    <row r="1480" spans="1:2" x14ac:dyDescent="0.25">
      <c r="A1480" t="str">
        <v>Rolighedsvej 15, 1. tv, 5400 Bogense</v>
      </c>
      <c r="B1480">
        <v>287626</v>
      </c>
    </row>
    <row r="1481" spans="1:2" x14ac:dyDescent="0.25">
      <c r="A1481" t="str">
        <v>Rolighedsvej 15, st. th, 5400 Bogense</v>
      </c>
      <c r="B1481">
        <v>287627</v>
      </c>
    </row>
    <row r="1482" spans="1:2" x14ac:dyDescent="0.25">
      <c r="A1482" t="str">
        <v>Rolighedsvej 9D, kl., 5400 Bogense</v>
      </c>
      <c r="B1482">
        <v>287628</v>
      </c>
    </row>
    <row r="1483" spans="1:2" x14ac:dyDescent="0.25">
      <c r="A1483" t="str">
        <v>Rolighedsvej 9D, st., 5400 Bogense</v>
      </c>
      <c r="B1483">
        <v>287629</v>
      </c>
    </row>
    <row r="1484" spans="1:2" x14ac:dyDescent="0.25">
      <c r="A1484" t="str">
        <v>Rolighedsvej 9D, 1., 5400 Bogense</v>
      </c>
      <c r="B1484">
        <v>287630</v>
      </c>
    </row>
    <row r="1485" spans="1:2" x14ac:dyDescent="0.25">
      <c r="A1485" t="str">
        <v>Rolighedsvej 9E, st. th, 5400 Bogense</v>
      </c>
      <c r="B1485">
        <v>287631</v>
      </c>
    </row>
    <row r="1486" spans="1:2" x14ac:dyDescent="0.25">
      <c r="A1486" t="str">
        <v>Rolighedsvej 9E, st. tv, 5400 Bogense</v>
      </c>
      <c r="B1486">
        <v>287632</v>
      </c>
    </row>
    <row r="1487" spans="1:2" x14ac:dyDescent="0.25">
      <c r="A1487" t="str">
        <v>Rolighedsvej 9E, 1. th, 5400 Bogense</v>
      </c>
      <c r="B1487">
        <v>287633</v>
      </c>
    </row>
    <row r="1488" spans="1:2" x14ac:dyDescent="0.25">
      <c r="A1488" t="str">
        <v>Rolighedsvej 9E, 1. tv, 5400 Bogense</v>
      </c>
      <c r="B1488">
        <v>287634</v>
      </c>
    </row>
    <row r="1489" spans="1:2" x14ac:dyDescent="0.25">
      <c r="A1489" t="str">
        <v>Odensevej 99, 5400 Bogense</v>
      </c>
      <c r="B1489">
        <v>5443944</v>
      </c>
    </row>
    <row r="1490" spans="1:2" x14ac:dyDescent="0.25">
      <c r="A1490" t="str">
        <v>Odensevej 121A, 5400 Bogense</v>
      </c>
      <c r="B1490">
        <v>5443948</v>
      </c>
    </row>
    <row r="1491" spans="1:2" x14ac:dyDescent="0.25">
      <c r="A1491" t="str">
        <v>Odensevej 103, 5400 Bogense</v>
      </c>
      <c r="B1491">
        <v>5443949</v>
      </c>
    </row>
    <row r="1492" spans="1:2" x14ac:dyDescent="0.25">
      <c r="A1492" t="str">
        <v>Oddervænget 5, 5400 Bogense</v>
      </c>
      <c r="B1492">
        <v>5443951</v>
      </c>
    </row>
    <row r="1493" spans="1:2" x14ac:dyDescent="0.25">
      <c r="A1493" t="str">
        <v>Odensevej 85, 5400 Bogense</v>
      </c>
      <c r="B1493">
        <v>5443955</v>
      </c>
    </row>
    <row r="1494" spans="1:2" x14ac:dyDescent="0.25">
      <c r="A1494" t="str">
        <v>Odensevej 87, 5400 Bogense</v>
      </c>
      <c r="B1494">
        <v>5443956</v>
      </c>
    </row>
    <row r="1495" spans="1:2" x14ac:dyDescent="0.25">
      <c r="A1495" t="str">
        <v>Oddervænget 10, 5400 Bogense</v>
      </c>
      <c r="B1495">
        <v>5443957</v>
      </c>
    </row>
    <row r="1496" spans="1:2" x14ac:dyDescent="0.25">
      <c r="A1496" t="str">
        <v>Oddervænget 10, 5400 Bogense</v>
      </c>
      <c r="B1496">
        <v>5443957</v>
      </c>
    </row>
    <row r="1497" spans="1:2" x14ac:dyDescent="0.25">
      <c r="A1497" t="str">
        <v>Oddervænget 12, 5400 Bogense</v>
      </c>
      <c r="B1497">
        <v>5443957</v>
      </c>
    </row>
    <row r="1498" spans="1:2" x14ac:dyDescent="0.25">
      <c r="A1498" t="str">
        <v>Oddervænget 14, 5400 Bogense</v>
      </c>
      <c r="B1498">
        <v>5443957</v>
      </c>
    </row>
    <row r="1499" spans="1:2" x14ac:dyDescent="0.25">
      <c r="A1499" t="str">
        <v>Oddervænget 16, 5400 Bogense</v>
      </c>
      <c r="B1499">
        <v>5443957</v>
      </c>
    </row>
    <row r="1500" spans="1:2" x14ac:dyDescent="0.25">
      <c r="A1500" t="str">
        <v>Oddervænget 18, 5400 Bogense</v>
      </c>
      <c r="B1500">
        <v>5443957</v>
      </c>
    </row>
    <row r="1501" spans="1:2" x14ac:dyDescent="0.25">
      <c r="A1501" t="str">
        <v>Oddervænget 20, 5400 Bogense</v>
      </c>
      <c r="B1501">
        <v>5443957</v>
      </c>
    </row>
    <row r="1502" spans="1:2" x14ac:dyDescent="0.25">
      <c r="A1502" t="str">
        <v>Oddervænget 22, 5400 Bogense</v>
      </c>
      <c r="B1502">
        <v>5443957</v>
      </c>
    </row>
    <row r="1503" spans="1:2" x14ac:dyDescent="0.25">
      <c r="A1503" t="str">
        <v>Oddervænget 24, 5400 Bogense</v>
      </c>
      <c r="B1503">
        <v>5443957</v>
      </c>
    </row>
    <row r="1504" spans="1:2" x14ac:dyDescent="0.25">
      <c r="A1504" t="str">
        <v>Oddervænget 26, 5400 Bogense</v>
      </c>
      <c r="B1504">
        <v>5443957</v>
      </c>
    </row>
    <row r="1505" spans="1:2" x14ac:dyDescent="0.25">
      <c r="A1505" t="str">
        <v>Hjortevænget 1, 5400 Bogense</v>
      </c>
      <c r="B1505">
        <v>5443959</v>
      </c>
    </row>
    <row r="1506" spans="1:2" x14ac:dyDescent="0.25">
      <c r="A1506" t="str">
        <v>Glentevænget 1, 5400 Bogense</v>
      </c>
      <c r="B1506">
        <v>5443961</v>
      </c>
    </row>
    <row r="1507" spans="1:2" x14ac:dyDescent="0.25">
      <c r="A1507" t="str">
        <v>Glentevænget 3, 5400 Bogense</v>
      </c>
      <c r="B1507">
        <v>5443962</v>
      </c>
    </row>
    <row r="1508" spans="1:2" x14ac:dyDescent="0.25">
      <c r="A1508" t="str">
        <v>Glentevænget 5, 5400 Bogense</v>
      </c>
      <c r="B1508">
        <v>5443963</v>
      </c>
    </row>
    <row r="1509" spans="1:2" x14ac:dyDescent="0.25">
      <c r="A1509" t="str">
        <v>Glentevænget 7, 5400 Bogense</v>
      </c>
      <c r="B1509">
        <v>5443964</v>
      </c>
    </row>
    <row r="1510" spans="1:2" x14ac:dyDescent="0.25">
      <c r="A1510" t="str">
        <v>Glentevænget 9, 5400 Bogense</v>
      </c>
      <c r="B1510">
        <v>5443965</v>
      </c>
    </row>
    <row r="1511" spans="1:2" x14ac:dyDescent="0.25">
      <c r="A1511" t="str">
        <v>Glentevænget 12, 5400 Bogense</v>
      </c>
      <c r="B1511">
        <v>5443968</v>
      </c>
    </row>
    <row r="1512" spans="1:2" x14ac:dyDescent="0.25">
      <c r="A1512" t="str">
        <v>Glentevænget 10, 5400 Bogense</v>
      </c>
      <c r="B1512">
        <v>5443969</v>
      </c>
    </row>
    <row r="1513" spans="1:2" x14ac:dyDescent="0.25">
      <c r="A1513" t="str">
        <v>Glentevænget 8, 5400 Bogense</v>
      </c>
      <c r="B1513">
        <v>5443970</v>
      </c>
    </row>
    <row r="1514" spans="1:2" x14ac:dyDescent="0.25">
      <c r="A1514" t="str">
        <v>Glentevænget 6, 5400 Bogense</v>
      </c>
      <c r="B1514">
        <v>5443971</v>
      </c>
    </row>
    <row r="1515" spans="1:2" x14ac:dyDescent="0.25">
      <c r="A1515" t="str">
        <v>Glentevænget 4, 5400 Bogense</v>
      </c>
      <c r="B1515">
        <v>5443972</v>
      </c>
    </row>
    <row r="1516" spans="1:2" x14ac:dyDescent="0.25">
      <c r="A1516" t="str">
        <v>Glentevænget 2, 5400 Bogense</v>
      </c>
      <c r="B1516">
        <v>5443973</v>
      </c>
    </row>
    <row r="1517" spans="1:2" x14ac:dyDescent="0.25">
      <c r="A1517" t="str">
        <v>Høgevænget 1, 5400 Bogense</v>
      </c>
      <c r="B1517">
        <v>5443974</v>
      </c>
    </row>
    <row r="1518" spans="1:2" x14ac:dyDescent="0.25">
      <c r="A1518" t="str">
        <v>Høgevænget 3, 5400 Bogense</v>
      </c>
      <c r="B1518">
        <v>5443975</v>
      </c>
    </row>
    <row r="1519" spans="1:2" x14ac:dyDescent="0.25">
      <c r="A1519" t="str">
        <v>Høgevænget 5, 5400 Bogense</v>
      </c>
      <c r="B1519">
        <v>5443976</v>
      </c>
    </row>
    <row r="1520" spans="1:2" x14ac:dyDescent="0.25">
      <c r="A1520" t="str">
        <v>Høgevænget 7, 5400 Bogense</v>
      </c>
      <c r="B1520">
        <v>5443977</v>
      </c>
    </row>
    <row r="1521" spans="1:2" x14ac:dyDescent="0.25">
      <c r="A1521" t="str">
        <v>Høgevænget 9, 5400 Bogense</v>
      </c>
      <c r="B1521">
        <v>5443978</v>
      </c>
    </row>
    <row r="1522" spans="1:2" x14ac:dyDescent="0.25">
      <c r="A1522" t="str">
        <v>Høgevænget 11, 5400 Bogense</v>
      </c>
      <c r="B1522">
        <v>5443979</v>
      </c>
    </row>
    <row r="1523" spans="1:2" x14ac:dyDescent="0.25">
      <c r="A1523" t="str">
        <v>Høgevænget 8, 5400 Bogense</v>
      </c>
      <c r="B1523">
        <v>5443980</v>
      </c>
    </row>
    <row r="1524" spans="1:2" x14ac:dyDescent="0.25">
      <c r="A1524" t="str">
        <v>Høgevænget 6, 5400 Bogense</v>
      </c>
      <c r="B1524">
        <v>5443981</v>
      </c>
    </row>
    <row r="1525" spans="1:2" x14ac:dyDescent="0.25">
      <c r="A1525" t="str">
        <v>Høgevænget 4, 5400 Bogense</v>
      </c>
      <c r="B1525">
        <v>5443982</v>
      </c>
    </row>
    <row r="1526" spans="1:2" x14ac:dyDescent="0.25">
      <c r="A1526" t="str">
        <v>Høgevænget 2, 5400 Bogense</v>
      </c>
      <c r="B1526">
        <v>5443983</v>
      </c>
    </row>
    <row r="1527" spans="1:2" x14ac:dyDescent="0.25">
      <c r="A1527" t="str">
        <v>Falkevej 9, 5400 Bogense</v>
      </c>
      <c r="B1527">
        <v>5443984</v>
      </c>
    </row>
    <row r="1528" spans="1:2" x14ac:dyDescent="0.25">
      <c r="A1528" t="str">
        <v>Falkevej 11, 5400 Bogense</v>
      </c>
      <c r="B1528">
        <v>5443985</v>
      </c>
    </row>
    <row r="1529" spans="1:2" x14ac:dyDescent="0.25">
      <c r="A1529" t="str">
        <v>Falkevej 13, 5400 Bogense</v>
      </c>
      <c r="B1529">
        <v>5443986</v>
      </c>
    </row>
    <row r="1530" spans="1:2" x14ac:dyDescent="0.25">
      <c r="A1530" t="str">
        <v>Fuglebakken 26, 5400 Bogense</v>
      </c>
      <c r="B1530">
        <v>5443987</v>
      </c>
    </row>
    <row r="1531" spans="1:2" x14ac:dyDescent="0.25">
      <c r="A1531" t="str">
        <v>Glentevænget 11, 5400 Bogense</v>
      </c>
      <c r="B1531">
        <v>5443988</v>
      </c>
    </row>
    <row r="1532" spans="1:2" x14ac:dyDescent="0.25">
      <c r="A1532" t="str">
        <v>Glentevænget 13, 5400 Bogense</v>
      </c>
      <c r="B1532">
        <v>5443989</v>
      </c>
    </row>
    <row r="1533" spans="1:2" x14ac:dyDescent="0.25">
      <c r="A1533" t="str">
        <v>Glentevænget 15, 5400 Bogense</v>
      </c>
      <c r="B1533">
        <v>5443990</v>
      </c>
    </row>
    <row r="1534" spans="1:2" x14ac:dyDescent="0.25">
      <c r="A1534" t="str">
        <v>Glentevænget 17, 5400 Bogense</v>
      </c>
      <c r="B1534">
        <v>5443991</v>
      </c>
    </row>
    <row r="1535" spans="1:2" x14ac:dyDescent="0.25">
      <c r="A1535" t="str">
        <v>Glentevænget 19, 5400 Bogense</v>
      </c>
      <c r="B1535">
        <v>5443992</v>
      </c>
    </row>
    <row r="1536" spans="1:2" x14ac:dyDescent="0.25">
      <c r="A1536" t="str">
        <v>Glentevænget 21, 5400 Bogense</v>
      </c>
      <c r="B1536">
        <v>5443993</v>
      </c>
    </row>
    <row r="1537" spans="1:2" x14ac:dyDescent="0.25">
      <c r="A1537" t="str">
        <v>Fuglebakken 28, 5400 Bogense</v>
      </c>
      <c r="B1537">
        <v>5443994</v>
      </c>
    </row>
    <row r="1538" spans="1:2" x14ac:dyDescent="0.25">
      <c r="A1538" t="str">
        <v>Fuglebakken 30, 5400 Bogense</v>
      </c>
      <c r="B1538">
        <v>5443995</v>
      </c>
    </row>
    <row r="1539" spans="1:2" x14ac:dyDescent="0.25">
      <c r="A1539" t="str">
        <v>Fuglebakken 32, 5400 Bogense</v>
      </c>
      <c r="B1539">
        <v>5443996</v>
      </c>
    </row>
    <row r="1540" spans="1:2" x14ac:dyDescent="0.25">
      <c r="A1540" t="str">
        <v>Fuglebakken 34, 5400 Bogense</v>
      </c>
      <c r="B1540">
        <v>5443997</v>
      </c>
    </row>
    <row r="1541" spans="1:2" x14ac:dyDescent="0.25">
      <c r="A1541" t="str">
        <v>Fuglebakken 36, 5400 Bogense</v>
      </c>
      <c r="B1541">
        <v>5443998</v>
      </c>
    </row>
    <row r="1542" spans="1:2" x14ac:dyDescent="0.25">
      <c r="A1542" t="str">
        <v>Fuglebakken 38, 5400 Bogense</v>
      </c>
      <c r="B1542">
        <v>5443999</v>
      </c>
    </row>
    <row r="1543" spans="1:2" x14ac:dyDescent="0.25">
      <c r="A1543" t="str">
        <v>Fuglebakken 40, 5400 Bogense</v>
      </c>
      <c r="B1543">
        <v>5444000</v>
      </c>
    </row>
    <row r="1544" spans="1:2" x14ac:dyDescent="0.25">
      <c r="A1544" t="str">
        <v>Fuglebakken 42, 5400 Bogense</v>
      </c>
      <c r="B1544">
        <v>5444001</v>
      </c>
    </row>
    <row r="1545" spans="1:2" x14ac:dyDescent="0.25">
      <c r="A1545" t="str">
        <v>Fuglebakken 44, 5400 Bogense</v>
      </c>
      <c r="B1545">
        <v>5444002</v>
      </c>
    </row>
    <row r="1546" spans="1:2" x14ac:dyDescent="0.25">
      <c r="A1546" t="str">
        <v>Fuglebakken 46, 5400 Bogense</v>
      </c>
      <c r="B1546">
        <v>5444003</v>
      </c>
    </row>
    <row r="1547" spans="1:2" x14ac:dyDescent="0.25">
      <c r="A1547" t="str">
        <v>Fuglebakken 48, 5400 Bogense</v>
      </c>
      <c r="B1547">
        <v>5444004</v>
      </c>
    </row>
    <row r="1548" spans="1:2" x14ac:dyDescent="0.25">
      <c r="A1548" t="str">
        <v>Hjortevænget 12, 5400 Bogense</v>
      </c>
      <c r="B1548">
        <v>5444005</v>
      </c>
    </row>
    <row r="1549" spans="1:2" x14ac:dyDescent="0.25">
      <c r="A1549" t="str">
        <v>Dådyrvænget 11, 5400 Bogense</v>
      </c>
      <c r="B1549">
        <v>5444006</v>
      </c>
    </row>
    <row r="1550" spans="1:2" x14ac:dyDescent="0.25">
      <c r="A1550" t="str">
        <v>Dådyrvænget 12, 5400 Bogense</v>
      </c>
      <c r="B1550">
        <v>5444007</v>
      </c>
    </row>
    <row r="1551" spans="1:2" x14ac:dyDescent="0.25">
      <c r="A1551" t="str">
        <v>Hermelinvænget 9, 5400 Bogense</v>
      </c>
      <c r="B1551">
        <v>5444008</v>
      </c>
    </row>
    <row r="1552" spans="1:2" x14ac:dyDescent="0.25">
      <c r="A1552" t="str">
        <v>Hermelinvænget 7, 5400 Bogense</v>
      </c>
      <c r="B1552">
        <v>5444009</v>
      </c>
    </row>
    <row r="1553" spans="1:2" x14ac:dyDescent="0.25">
      <c r="A1553" t="str">
        <v>Hermelinvænget 5, 5400 Bogense</v>
      </c>
      <c r="B1553">
        <v>5444010</v>
      </c>
    </row>
    <row r="1554" spans="1:2" x14ac:dyDescent="0.25">
      <c r="A1554" t="str">
        <v>Hermelinvænget 3, 5400 Bogense</v>
      </c>
      <c r="B1554">
        <v>5444011</v>
      </c>
    </row>
    <row r="1555" spans="1:2" x14ac:dyDescent="0.25">
      <c r="A1555" t="str">
        <v>Hermelinvænget 1, 5400 Bogense</v>
      </c>
      <c r="B1555">
        <v>5444012</v>
      </c>
    </row>
    <row r="1556" spans="1:2" x14ac:dyDescent="0.25">
      <c r="A1556" t="str">
        <v>Dådyrvænget 2, 5400 Bogense</v>
      </c>
      <c r="B1556">
        <v>5444013</v>
      </c>
    </row>
    <row r="1557" spans="1:2" x14ac:dyDescent="0.25">
      <c r="A1557" t="str">
        <v>Dådyrvænget 4, 5400 Bogense</v>
      </c>
      <c r="B1557">
        <v>5444014</v>
      </c>
    </row>
    <row r="1558" spans="1:2" x14ac:dyDescent="0.25">
      <c r="A1558" t="str">
        <v>Dådyrvænget 6, 5400 Bogense</v>
      </c>
      <c r="B1558">
        <v>5444015</v>
      </c>
    </row>
    <row r="1559" spans="1:2" x14ac:dyDescent="0.25">
      <c r="A1559" t="str">
        <v>Dådyrvænget 8, 5400 Bogense</v>
      </c>
      <c r="B1559">
        <v>5444016</v>
      </c>
    </row>
    <row r="1560" spans="1:2" x14ac:dyDescent="0.25">
      <c r="A1560" t="str">
        <v>Dådyrvænget 10, 5400 Bogense</v>
      </c>
      <c r="B1560">
        <v>5444017</v>
      </c>
    </row>
    <row r="1561" spans="1:2" x14ac:dyDescent="0.25">
      <c r="A1561" t="str">
        <v>Dådyrvænget 9, 5400 Bogense</v>
      </c>
      <c r="B1561">
        <v>5444018</v>
      </c>
    </row>
    <row r="1562" spans="1:2" x14ac:dyDescent="0.25">
      <c r="A1562" t="str">
        <v>Dådyrvænget 7, 5400 Bogense</v>
      </c>
      <c r="B1562">
        <v>5444019</v>
      </c>
    </row>
    <row r="1563" spans="1:2" x14ac:dyDescent="0.25">
      <c r="A1563" t="str">
        <v>Dådyrvænget 5, 5400 Bogense</v>
      </c>
      <c r="B1563">
        <v>5444020</v>
      </c>
    </row>
    <row r="1564" spans="1:2" x14ac:dyDescent="0.25">
      <c r="A1564" t="str">
        <v>Dådyrvænget 3, 5400 Bogense</v>
      </c>
      <c r="B1564">
        <v>5444021</v>
      </c>
    </row>
    <row r="1565" spans="1:2" x14ac:dyDescent="0.25">
      <c r="A1565" t="str">
        <v>Dådyrvænget 1, 5400 Bogense</v>
      </c>
      <c r="B1565">
        <v>5444022</v>
      </c>
    </row>
    <row r="1566" spans="1:2" x14ac:dyDescent="0.25">
      <c r="A1566" t="str">
        <v>Hjortevænget 2, 5400 Bogense</v>
      </c>
      <c r="B1566">
        <v>5444023</v>
      </c>
    </row>
    <row r="1567" spans="1:2" x14ac:dyDescent="0.25">
      <c r="A1567" t="str">
        <v>Hjortevænget 4, 5400 Bogense</v>
      </c>
      <c r="B1567">
        <v>5444024</v>
      </c>
    </row>
    <row r="1568" spans="1:2" x14ac:dyDescent="0.25">
      <c r="A1568" t="str">
        <v>Hjortevænget 6, 5400 Bogense</v>
      </c>
      <c r="B1568">
        <v>5444025</v>
      </c>
    </row>
    <row r="1569" spans="1:2" x14ac:dyDescent="0.25">
      <c r="A1569" t="str">
        <v>Hjortevænget 8, 5400 Bogense</v>
      </c>
      <c r="B1569">
        <v>5444026</v>
      </c>
    </row>
    <row r="1570" spans="1:2" x14ac:dyDescent="0.25">
      <c r="A1570" t="str">
        <v>Hjortevænget 10, 5400 Bogense</v>
      </c>
      <c r="B1570">
        <v>5444027</v>
      </c>
    </row>
    <row r="1571" spans="1:2" x14ac:dyDescent="0.25">
      <c r="A1571" t="str">
        <v>Dyrehaven 6, 5400 Bogense</v>
      </c>
      <c r="B1571">
        <v>5444028</v>
      </c>
    </row>
    <row r="1572" spans="1:2" x14ac:dyDescent="0.25">
      <c r="A1572" t="str">
        <v>Dyrehaven 8, 5400 Bogense</v>
      </c>
      <c r="B1572">
        <v>5444029</v>
      </c>
    </row>
    <row r="1573" spans="1:2" x14ac:dyDescent="0.25">
      <c r="A1573" t="str">
        <v>Dyrehaven 10, 5400 Bogense</v>
      </c>
      <c r="B1573">
        <v>5444030</v>
      </c>
    </row>
    <row r="1574" spans="1:2" x14ac:dyDescent="0.25">
      <c r="A1574" t="str">
        <v>Dyrehaven 12, 5400 Bogense</v>
      </c>
      <c r="B1574">
        <v>5444031</v>
      </c>
    </row>
    <row r="1575" spans="1:2" x14ac:dyDescent="0.25">
      <c r="A1575" t="str">
        <v>Dyrehaven 14, 5400 Bogense</v>
      </c>
      <c r="B1575">
        <v>5444032</v>
      </c>
    </row>
    <row r="1576" spans="1:2" x14ac:dyDescent="0.25">
      <c r="A1576" t="str">
        <v>Dyrehaven 16, 5400 Bogense</v>
      </c>
      <c r="B1576">
        <v>5444033</v>
      </c>
    </row>
    <row r="1577" spans="1:2" x14ac:dyDescent="0.25">
      <c r="A1577" t="str">
        <v>Dyrehaven 18, 5400 Bogense</v>
      </c>
      <c r="B1577">
        <v>5444034</v>
      </c>
    </row>
    <row r="1578" spans="1:2" x14ac:dyDescent="0.25">
      <c r="A1578" t="str">
        <v>Dyrehaven 20, 5400 Bogense</v>
      </c>
      <c r="B1578">
        <v>5444035</v>
      </c>
    </row>
    <row r="1579" spans="1:2" x14ac:dyDescent="0.25">
      <c r="A1579" t="str">
        <v>Dyrehaven 22, 5400 Bogense</v>
      </c>
      <c r="B1579">
        <v>5444036</v>
      </c>
    </row>
    <row r="1580" spans="1:2" x14ac:dyDescent="0.25">
      <c r="A1580" t="str">
        <v>Dyrehaven 24, 5400 Bogense</v>
      </c>
      <c r="B1580">
        <v>5444037</v>
      </c>
    </row>
    <row r="1581" spans="1:2" x14ac:dyDescent="0.25">
      <c r="A1581" t="str">
        <v>Mårvænget 2, 5400 Bogense</v>
      </c>
      <c r="B1581">
        <v>5444038</v>
      </c>
    </row>
    <row r="1582" spans="1:2" x14ac:dyDescent="0.25">
      <c r="A1582" t="str">
        <v>Mårvænget 4, 5400 Bogense</v>
      </c>
      <c r="B1582">
        <v>5444039</v>
      </c>
    </row>
    <row r="1583" spans="1:2" x14ac:dyDescent="0.25">
      <c r="A1583" t="str">
        <v>Mårvænget 6, 5400 Bogense</v>
      </c>
      <c r="B1583">
        <v>5444040</v>
      </c>
    </row>
    <row r="1584" spans="1:2" x14ac:dyDescent="0.25">
      <c r="A1584" t="str">
        <v>Mårvænget 5, 5400 Bogense</v>
      </c>
      <c r="B1584">
        <v>5444041</v>
      </c>
    </row>
    <row r="1585" spans="1:2" x14ac:dyDescent="0.25">
      <c r="A1585" t="str">
        <v>Mårvænget 3, 5400 Bogense</v>
      </c>
      <c r="B1585">
        <v>5444042</v>
      </c>
    </row>
    <row r="1586" spans="1:2" x14ac:dyDescent="0.25">
      <c r="A1586" t="str">
        <v>Mårvænget 1, 5400 Bogense</v>
      </c>
      <c r="B1586">
        <v>5444043</v>
      </c>
    </row>
    <row r="1587" spans="1:2" x14ac:dyDescent="0.25">
      <c r="A1587" t="str">
        <v>Hermelinvænget 2, 5400 Bogense</v>
      </c>
      <c r="B1587">
        <v>5444044</v>
      </c>
    </row>
    <row r="1588" spans="1:2" x14ac:dyDescent="0.25">
      <c r="A1588" t="str">
        <v>Hermelinvænget 4, 5400 Bogense</v>
      </c>
      <c r="B1588">
        <v>5444045</v>
      </c>
    </row>
    <row r="1589" spans="1:2" x14ac:dyDescent="0.25">
      <c r="A1589" t="str">
        <v>Hermelinvænget 6, 5400 Bogense</v>
      </c>
      <c r="B1589">
        <v>5444046</v>
      </c>
    </row>
    <row r="1590" spans="1:2" x14ac:dyDescent="0.25">
      <c r="A1590" t="str">
        <v>Hermelinvænget 8, 5400 Bogense</v>
      </c>
      <c r="B1590">
        <v>5444047</v>
      </c>
    </row>
    <row r="1591" spans="1:2" x14ac:dyDescent="0.25">
      <c r="A1591" t="str">
        <v>Falkevej 12, 5400 Bogense</v>
      </c>
      <c r="B1591">
        <v>5444048</v>
      </c>
    </row>
    <row r="1592" spans="1:2" x14ac:dyDescent="0.25">
      <c r="A1592" t="str">
        <v>Oddervænget 2, 5400 Bogense</v>
      </c>
      <c r="B1592">
        <v>5444049</v>
      </c>
    </row>
    <row r="1593" spans="1:2" x14ac:dyDescent="0.25">
      <c r="A1593" t="str">
        <v>Dyrehaven 2, 5400 Bogense</v>
      </c>
      <c r="B1593">
        <v>5444050</v>
      </c>
    </row>
    <row r="1594" spans="1:2" x14ac:dyDescent="0.25">
      <c r="A1594">
        <v>0</v>
      </c>
      <c r="B1594">
        <v>5444065</v>
      </c>
    </row>
    <row r="1595" spans="1:2" x14ac:dyDescent="0.25">
      <c r="A1595">
        <v>0</v>
      </c>
      <c r="B1595">
        <v>5444066</v>
      </c>
    </row>
    <row r="1596" spans="1:2" x14ac:dyDescent="0.25">
      <c r="A1596" t="str">
        <v>Gyldensteensvej 79, 5400 Bogense</v>
      </c>
      <c r="B1596">
        <v>5444067</v>
      </c>
    </row>
    <row r="1597" spans="1:2" x14ac:dyDescent="0.25">
      <c r="A1597" t="str">
        <v>Hasselvej 2, 5400 Bogense</v>
      </c>
      <c r="B1597">
        <v>5444077</v>
      </c>
    </row>
    <row r="1598" spans="1:2" x14ac:dyDescent="0.25">
      <c r="A1598" t="str">
        <v>Hasselvej 4, 5400 Bogense</v>
      </c>
      <c r="B1598">
        <v>5444078</v>
      </c>
    </row>
    <row r="1599" spans="1:2" x14ac:dyDescent="0.25">
      <c r="A1599" t="str">
        <v>Hasselvej 6, 5400 Bogense</v>
      </c>
      <c r="B1599">
        <v>5444079</v>
      </c>
    </row>
    <row r="1600" spans="1:2" x14ac:dyDescent="0.25">
      <c r="A1600" t="str">
        <v>Hasselvej 8, 5400 Bogense</v>
      </c>
      <c r="B1600">
        <v>5444080</v>
      </c>
    </row>
    <row r="1601" spans="1:2" x14ac:dyDescent="0.25">
      <c r="A1601" t="str">
        <v>Hasselvej 10, 5400 Bogense</v>
      </c>
      <c r="B1601">
        <v>5444081</v>
      </c>
    </row>
    <row r="1602" spans="1:2" x14ac:dyDescent="0.25">
      <c r="A1602" t="str">
        <v>Hasselvej 12, 5400 Bogense</v>
      </c>
      <c r="B1602">
        <v>5444082</v>
      </c>
    </row>
    <row r="1603" spans="1:2" x14ac:dyDescent="0.25">
      <c r="A1603" t="str">
        <v>Hasselvej 14, 5400 Bogense</v>
      </c>
      <c r="B1603">
        <v>5444083</v>
      </c>
    </row>
    <row r="1604" spans="1:2" x14ac:dyDescent="0.25">
      <c r="A1604" t="str">
        <v>Hasselvej 13, 5400 Bogense</v>
      </c>
      <c r="B1604">
        <v>5444084</v>
      </c>
    </row>
    <row r="1605" spans="1:2" x14ac:dyDescent="0.25">
      <c r="A1605" t="str">
        <v>Hasselvej 11, 5400 Bogense</v>
      </c>
      <c r="B1605">
        <v>5444085</v>
      </c>
    </row>
    <row r="1606" spans="1:2" x14ac:dyDescent="0.25">
      <c r="A1606" t="str">
        <v>Hasselvej 9, 5400 Bogense</v>
      </c>
      <c r="B1606">
        <v>5444086</v>
      </c>
    </row>
    <row r="1607" spans="1:2" x14ac:dyDescent="0.25">
      <c r="A1607" t="str">
        <v>Hasselvej 7, 5400 Bogense</v>
      </c>
      <c r="B1607">
        <v>5444087</v>
      </c>
    </row>
    <row r="1608" spans="1:2" x14ac:dyDescent="0.25">
      <c r="A1608" t="str">
        <v>Hasselvej 5, 5400 Bogense</v>
      </c>
      <c r="B1608">
        <v>5444088</v>
      </c>
    </row>
    <row r="1609" spans="1:2" x14ac:dyDescent="0.25">
      <c r="A1609" t="str">
        <v>Hasselvej 3, 5400 Bogense</v>
      </c>
      <c r="B1609">
        <v>5444089</v>
      </c>
    </row>
    <row r="1610" spans="1:2" x14ac:dyDescent="0.25">
      <c r="A1610" t="str">
        <v>Hasselvej 1, 5400 Bogense</v>
      </c>
      <c r="B1610">
        <v>5444090</v>
      </c>
    </row>
    <row r="1611" spans="1:2" x14ac:dyDescent="0.25">
      <c r="A1611" t="str">
        <v>Kastanievej 2, 5400 Bogense</v>
      </c>
      <c r="B1611">
        <v>5444091</v>
      </c>
    </row>
    <row r="1612" spans="1:2" x14ac:dyDescent="0.25">
      <c r="A1612" t="str">
        <v>Kastanievej 4, 5400 Bogense</v>
      </c>
      <c r="B1612">
        <v>5444092</v>
      </c>
    </row>
    <row r="1613" spans="1:2" x14ac:dyDescent="0.25">
      <c r="A1613" t="str">
        <v>Kastanievej 6, 5400 Bogense</v>
      </c>
      <c r="B1613">
        <v>5444093</v>
      </c>
    </row>
    <row r="1614" spans="1:2" x14ac:dyDescent="0.25">
      <c r="A1614" t="str">
        <v>Kastanievej 8, 5400 Bogense</v>
      </c>
      <c r="B1614">
        <v>5444094</v>
      </c>
    </row>
    <row r="1615" spans="1:2" x14ac:dyDescent="0.25">
      <c r="A1615" t="str">
        <v>Kastanievej 10, 5400 Bogense</v>
      </c>
      <c r="B1615">
        <v>5444095</v>
      </c>
    </row>
    <row r="1616" spans="1:2" x14ac:dyDescent="0.25">
      <c r="A1616" t="str">
        <v>Kastanievej 12, 5400 Bogense</v>
      </c>
      <c r="B1616">
        <v>5444096</v>
      </c>
    </row>
    <row r="1617" spans="1:2" x14ac:dyDescent="0.25">
      <c r="A1617" t="str">
        <v>Kastanievej 14, 5400 Bogense</v>
      </c>
      <c r="B1617">
        <v>5444097</v>
      </c>
    </row>
    <row r="1618" spans="1:2" x14ac:dyDescent="0.25">
      <c r="A1618" t="str">
        <v>Kastanievej 9, 5400 Bogense</v>
      </c>
      <c r="B1618">
        <v>5444098</v>
      </c>
    </row>
    <row r="1619" spans="1:2" x14ac:dyDescent="0.25">
      <c r="A1619" t="str">
        <v>Kastanievej 7, 5400 Bogense</v>
      </c>
      <c r="B1619">
        <v>5444099</v>
      </c>
    </row>
    <row r="1620" spans="1:2" x14ac:dyDescent="0.25">
      <c r="A1620" t="str">
        <v>Kastanievej 5, 5400 Bogense</v>
      </c>
      <c r="B1620">
        <v>5444101</v>
      </c>
    </row>
    <row r="1621" spans="1:2" x14ac:dyDescent="0.25">
      <c r="A1621" t="str">
        <v>Kastanievej 3, 5400 Bogense</v>
      </c>
      <c r="B1621">
        <v>5444102</v>
      </c>
    </row>
    <row r="1622" spans="1:2" x14ac:dyDescent="0.25">
      <c r="A1622" t="str">
        <v>Kastanievej 1, 5400 Bogense</v>
      </c>
      <c r="B1622">
        <v>5444103</v>
      </c>
    </row>
    <row r="1623" spans="1:2" x14ac:dyDescent="0.25">
      <c r="A1623" t="str">
        <v>Kastanievej 11, 5400 Bogense</v>
      </c>
      <c r="B1623">
        <v>5444105</v>
      </c>
    </row>
    <row r="1624" spans="1:2" x14ac:dyDescent="0.25">
      <c r="A1624" t="str">
        <v>Ahornvej 72B, 5400 Bogense</v>
      </c>
      <c r="B1624">
        <v>5444107</v>
      </c>
    </row>
    <row r="1625" spans="1:2" x14ac:dyDescent="0.25">
      <c r="A1625" t="str">
        <v>Ahornvej 15, 5400 Bogense</v>
      </c>
      <c r="B1625">
        <v>5444109</v>
      </c>
    </row>
    <row r="1626" spans="1:2" x14ac:dyDescent="0.25">
      <c r="A1626" t="str">
        <v>Ahornvej 13, 5400 Bogense</v>
      </c>
      <c r="B1626">
        <v>5444110</v>
      </c>
    </row>
    <row r="1627" spans="1:2" x14ac:dyDescent="0.25">
      <c r="A1627" t="str">
        <v>Hasselvej 16, 5400 Bogense</v>
      </c>
      <c r="B1627">
        <v>5444111</v>
      </c>
    </row>
    <row r="1628" spans="1:2" x14ac:dyDescent="0.25">
      <c r="A1628" t="str">
        <v>Hasselvej 18, 5400 Bogense</v>
      </c>
      <c r="B1628">
        <v>5444112</v>
      </c>
    </row>
    <row r="1629" spans="1:2" x14ac:dyDescent="0.25">
      <c r="A1629" t="str">
        <v>Hasselvej 17, 5400 Bogense</v>
      </c>
      <c r="B1629">
        <v>5444113</v>
      </c>
    </row>
    <row r="1630" spans="1:2" x14ac:dyDescent="0.25">
      <c r="A1630" t="str">
        <v>Hasselvej 15, 5400 Bogense</v>
      </c>
      <c r="B1630">
        <v>5444114</v>
      </c>
    </row>
    <row r="1631" spans="1:2" x14ac:dyDescent="0.25">
      <c r="A1631" t="str">
        <v>Kastanievej 16, 5400 Bogense</v>
      </c>
      <c r="B1631">
        <v>5444115</v>
      </c>
    </row>
    <row r="1632" spans="1:2" x14ac:dyDescent="0.25">
      <c r="A1632" t="str">
        <v>Kastanievej 18, 5400 Bogense</v>
      </c>
      <c r="B1632">
        <v>5444116</v>
      </c>
    </row>
    <row r="1633" spans="1:2" x14ac:dyDescent="0.25">
      <c r="A1633" t="str">
        <v>Kastanievej 13, 5400 Bogense</v>
      </c>
      <c r="B1633">
        <v>5444117</v>
      </c>
    </row>
    <row r="1634" spans="1:2" x14ac:dyDescent="0.25">
      <c r="A1634" t="str">
        <v>Hyldevænget 1, 5400 Bogense</v>
      </c>
      <c r="B1634">
        <v>5444118</v>
      </c>
    </row>
    <row r="1635" spans="1:2" x14ac:dyDescent="0.25">
      <c r="A1635" t="str">
        <v>Hyldevænget 3, 5400 Bogense</v>
      </c>
      <c r="B1635">
        <v>5444119</v>
      </c>
    </row>
    <row r="1636" spans="1:2" x14ac:dyDescent="0.25">
      <c r="A1636" t="str">
        <v>Hyldevænget 5, 5400 Bogense</v>
      </c>
      <c r="B1636">
        <v>5444120</v>
      </c>
    </row>
    <row r="1637" spans="1:2" x14ac:dyDescent="0.25">
      <c r="A1637" t="str">
        <v>Hyldevænget 6, 5400 Bogense</v>
      </c>
      <c r="B1637">
        <v>5444121</v>
      </c>
    </row>
    <row r="1638" spans="1:2" x14ac:dyDescent="0.25">
      <c r="A1638" t="str">
        <v>Hyldevænget 4, 5400 Bogense</v>
      </c>
      <c r="B1638">
        <v>5444122</v>
      </c>
    </row>
    <row r="1639" spans="1:2" x14ac:dyDescent="0.25">
      <c r="A1639" t="str">
        <v>Hyldevænget 2, 5400 Bogense</v>
      </c>
      <c r="B1639">
        <v>5444123</v>
      </c>
    </row>
    <row r="1640" spans="1:2" x14ac:dyDescent="0.25">
      <c r="A1640" t="str">
        <v>Ahornvej 35, 5400 Bogense</v>
      </c>
      <c r="B1640">
        <v>5444124</v>
      </c>
    </row>
    <row r="1641" spans="1:2" x14ac:dyDescent="0.25">
      <c r="A1641" t="str">
        <v>Ahornvej 37, 5400 Bogense</v>
      </c>
      <c r="B1641">
        <v>5444125</v>
      </c>
    </row>
    <row r="1642" spans="1:2" x14ac:dyDescent="0.25">
      <c r="A1642" t="str">
        <v>Ahornvej 39, 5400 Bogense</v>
      </c>
      <c r="B1642">
        <v>5444126</v>
      </c>
    </row>
    <row r="1643" spans="1:2" x14ac:dyDescent="0.25">
      <c r="A1643" t="str">
        <v>Ahornvej 25, 5400 Bogense</v>
      </c>
      <c r="B1643">
        <v>5444127</v>
      </c>
    </row>
    <row r="1644" spans="1:2" x14ac:dyDescent="0.25">
      <c r="A1644" t="str">
        <v>Ahornvej 27, 5400 Bogense</v>
      </c>
      <c r="B1644">
        <v>5444128</v>
      </c>
    </row>
    <row r="1645" spans="1:2" x14ac:dyDescent="0.25">
      <c r="A1645" t="str">
        <v>Ahornvej 29, 5400 Bogense</v>
      </c>
      <c r="B1645">
        <v>5444129</v>
      </c>
    </row>
    <row r="1646" spans="1:2" x14ac:dyDescent="0.25">
      <c r="A1646" t="str">
        <v>Ahornvej 31, 5400 Bogense</v>
      </c>
      <c r="B1646">
        <v>5444130</v>
      </c>
    </row>
    <row r="1647" spans="1:2" x14ac:dyDescent="0.25">
      <c r="A1647" t="str">
        <v>Ahornvej 33, 5400 Bogense</v>
      </c>
      <c r="B1647">
        <v>5444131</v>
      </c>
    </row>
    <row r="1648" spans="1:2" x14ac:dyDescent="0.25">
      <c r="A1648" t="str">
        <v>Valnøddevej 25, 5400 Bogense</v>
      </c>
      <c r="B1648">
        <v>5444132</v>
      </c>
    </row>
    <row r="1649" spans="1:2" x14ac:dyDescent="0.25">
      <c r="A1649" t="str">
        <v>Valnøddevej 27, 5400 Bogense</v>
      </c>
      <c r="B1649">
        <v>5444133</v>
      </c>
    </row>
    <row r="1650" spans="1:2" x14ac:dyDescent="0.25">
      <c r="A1650" t="str">
        <v>Valnøddevej 29, 5400 Bogense</v>
      </c>
      <c r="B1650">
        <v>5444134</v>
      </c>
    </row>
    <row r="1651" spans="1:2" x14ac:dyDescent="0.25">
      <c r="A1651" t="str">
        <v>Valnøddevej 31, 5400 Bogense</v>
      </c>
      <c r="B1651">
        <v>5444135</v>
      </c>
    </row>
    <row r="1652" spans="1:2" x14ac:dyDescent="0.25">
      <c r="A1652" t="str">
        <v>Valnøddevej 23, 5400 Bogense</v>
      </c>
      <c r="B1652">
        <v>5444136</v>
      </c>
    </row>
    <row r="1653" spans="1:2" x14ac:dyDescent="0.25">
      <c r="A1653" t="str">
        <v>Valnøddevej 21, 5400 Bogense</v>
      </c>
      <c r="B1653">
        <v>5444137</v>
      </c>
    </row>
    <row r="1654" spans="1:2" x14ac:dyDescent="0.25">
      <c r="A1654" t="str">
        <v>Valnøddevej 19, 5400 Bogense</v>
      </c>
      <c r="B1654">
        <v>5444138</v>
      </c>
    </row>
    <row r="1655" spans="1:2" x14ac:dyDescent="0.25">
      <c r="A1655" t="str">
        <v>Valnøddevej 17, 5400 Bogense</v>
      </c>
      <c r="B1655">
        <v>5444139</v>
      </c>
    </row>
    <row r="1656" spans="1:2" x14ac:dyDescent="0.25">
      <c r="A1656" t="str">
        <v>Valnøddevej 15, 5400 Bogense</v>
      </c>
      <c r="B1656">
        <v>5444140</v>
      </c>
    </row>
    <row r="1657" spans="1:2" x14ac:dyDescent="0.25">
      <c r="A1657" t="str">
        <v>Valnøddevej 13, 5400 Bogense</v>
      </c>
      <c r="B1657">
        <v>5444141</v>
      </c>
    </row>
    <row r="1658" spans="1:2" x14ac:dyDescent="0.25">
      <c r="A1658" t="str">
        <v>Valnøddevej 11, 5400 Bogense</v>
      </c>
      <c r="B1658">
        <v>5444142</v>
      </c>
    </row>
    <row r="1659" spans="1:2" x14ac:dyDescent="0.25">
      <c r="A1659" t="str">
        <v>Valnøddevej 9, 5400 Bogense</v>
      </c>
      <c r="B1659">
        <v>5444143</v>
      </c>
    </row>
    <row r="1660" spans="1:2" x14ac:dyDescent="0.25">
      <c r="A1660" t="str">
        <v>Valnøddevej 7, 5400 Bogense</v>
      </c>
      <c r="B1660">
        <v>5444144</v>
      </c>
    </row>
    <row r="1661" spans="1:2" x14ac:dyDescent="0.25">
      <c r="A1661" t="str">
        <v>Gyvelvænget 4, 5400 Bogense</v>
      </c>
      <c r="B1661">
        <v>5444145</v>
      </c>
    </row>
    <row r="1662" spans="1:2" x14ac:dyDescent="0.25">
      <c r="A1662" t="str">
        <v>Gyvelvænget 6, 5400 Bogense</v>
      </c>
      <c r="B1662">
        <v>5444146</v>
      </c>
    </row>
    <row r="1663" spans="1:2" x14ac:dyDescent="0.25">
      <c r="A1663" t="str">
        <v>Gyvelvænget 8, 5400 Bogense</v>
      </c>
      <c r="B1663">
        <v>5444147</v>
      </c>
    </row>
    <row r="1664" spans="1:2" x14ac:dyDescent="0.25">
      <c r="A1664" t="str">
        <v>Gyvelvænget 10, 5400 Bogense</v>
      </c>
      <c r="B1664">
        <v>5444148</v>
      </c>
    </row>
    <row r="1665" spans="1:2" x14ac:dyDescent="0.25">
      <c r="A1665" t="str">
        <v>Ahornvej 46, 5400 Bogense</v>
      </c>
      <c r="B1665">
        <v>5444149</v>
      </c>
    </row>
    <row r="1666" spans="1:2" x14ac:dyDescent="0.25">
      <c r="A1666" t="str">
        <v>Ahornvej 48, 5400 Bogense</v>
      </c>
      <c r="B1666">
        <v>5444150</v>
      </c>
    </row>
    <row r="1667" spans="1:2" x14ac:dyDescent="0.25">
      <c r="A1667" t="str">
        <v>Ahornvej 50, 5400 Bogense</v>
      </c>
      <c r="B1667">
        <v>5444151</v>
      </c>
    </row>
    <row r="1668" spans="1:2" x14ac:dyDescent="0.25">
      <c r="A1668" t="str">
        <v>Ahornvej 52, 5400 Bogense</v>
      </c>
      <c r="B1668">
        <v>5444152</v>
      </c>
    </row>
    <row r="1669" spans="1:2" x14ac:dyDescent="0.25">
      <c r="A1669" t="str">
        <v>Ahornvej 54, 5400 Bogense</v>
      </c>
      <c r="B1669">
        <v>5444153</v>
      </c>
    </row>
    <row r="1670" spans="1:2" x14ac:dyDescent="0.25">
      <c r="A1670" t="str">
        <v>Ahornvej 36, 5400 Bogense</v>
      </c>
      <c r="B1670">
        <v>5444154</v>
      </c>
    </row>
    <row r="1671" spans="1:2" x14ac:dyDescent="0.25">
      <c r="A1671" t="str">
        <v>Ahornvej 38, 5400 Bogense</v>
      </c>
      <c r="B1671">
        <v>5444155</v>
      </c>
    </row>
    <row r="1672" spans="1:2" x14ac:dyDescent="0.25">
      <c r="A1672" t="str">
        <v>Ahornvej 40, 5400 Bogense</v>
      </c>
      <c r="B1672">
        <v>5444156</v>
      </c>
    </row>
    <row r="1673" spans="1:2" x14ac:dyDescent="0.25">
      <c r="A1673" t="str">
        <v>Ahornvej 42, 5400 Bogense</v>
      </c>
      <c r="B1673">
        <v>5444157</v>
      </c>
    </row>
    <row r="1674" spans="1:2" x14ac:dyDescent="0.25">
      <c r="A1674" t="str">
        <v>Ahornvej 44, 5400 Bogense</v>
      </c>
      <c r="B1674">
        <v>5444158</v>
      </c>
    </row>
    <row r="1675" spans="1:2" x14ac:dyDescent="0.25">
      <c r="A1675" t="str">
        <v>Ahornvej 56, 5400 Bogense</v>
      </c>
      <c r="B1675">
        <v>5444159</v>
      </c>
    </row>
    <row r="1676" spans="1:2" x14ac:dyDescent="0.25">
      <c r="A1676" t="str">
        <v>Ahornvej 58, 5400 Bogense</v>
      </c>
      <c r="B1676">
        <v>5444160</v>
      </c>
    </row>
    <row r="1677" spans="1:2" x14ac:dyDescent="0.25">
      <c r="A1677" t="str">
        <v>Ahornvej 60, 5400 Bogense</v>
      </c>
      <c r="B1677">
        <v>5444161</v>
      </c>
    </row>
    <row r="1678" spans="1:2" x14ac:dyDescent="0.25">
      <c r="A1678" t="str">
        <v>Ahornvej 62, 5400 Bogense</v>
      </c>
      <c r="B1678">
        <v>5444162</v>
      </c>
    </row>
    <row r="1679" spans="1:2" x14ac:dyDescent="0.25">
      <c r="A1679" t="str">
        <v>Ahornvej 64, 5400 Bogense</v>
      </c>
      <c r="B1679">
        <v>5444163</v>
      </c>
    </row>
    <row r="1680" spans="1:2" x14ac:dyDescent="0.25">
      <c r="A1680" t="str">
        <v>Ahornvej 66, 5400 Bogense</v>
      </c>
      <c r="B1680">
        <v>5444164</v>
      </c>
    </row>
    <row r="1681" spans="1:2" x14ac:dyDescent="0.25">
      <c r="A1681" t="str">
        <v>Ahornvej 68, 5400 Bogense</v>
      </c>
      <c r="B1681">
        <v>5444165</v>
      </c>
    </row>
    <row r="1682" spans="1:2" x14ac:dyDescent="0.25">
      <c r="A1682" t="str">
        <v>Ahornvej 70, 5400 Bogense</v>
      </c>
      <c r="B1682">
        <v>5444166</v>
      </c>
    </row>
    <row r="1683" spans="1:2" x14ac:dyDescent="0.25">
      <c r="A1683" t="str">
        <v>Stegøvej 29A, Østerø, 5400 Bogense</v>
      </c>
      <c r="B1683">
        <v>5444168</v>
      </c>
    </row>
    <row r="1684" spans="1:2" x14ac:dyDescent="0.25">
      <c r="A1684" t="str">
        <v>Stegøvej 29, Østerø, 5400 Bogense</v>
      </c>
      <c r="B1684">
        <v>5444169</v>
      </c>
    </row>
    <row r="1685" spans="1:2" x14ac:dyDescent="0.25">
      <c r="A1685" t="str">
        <v>Stegøvej 27, 5400 Bogense</v>
      </c>
      <c r="B1685">
        <v>5444172</v>
      </c>
    </row>
    <row r="1686" spans="1:2" x14ac:dyDescent="0.25">
      <c r="A1686" t="str">
        <v>Birkevej 6, 5400 Bogense</v>
      </c>
      <c r="B1686">
        <v>5444176</v>
      </c>
    </row>
    <row r="1687" spans="1:2" x14ac:dyDescent="0.25">
      <c r="A1687" t="str">
        <v>Elmevej 5, 5400 Bogense</v>
      </c>
      <c r="B1687">
        <v>5444177</v>
      </c>
    </row>
    <row r="1688" spans="1:2" x14ac:dyDescent="0.25">
      <c r="A1688" t="str">
        <v>Bøgevej 21, 5400 Bogense</v>
      </c>
      <c r="B1688">
        <v>5444178</v>
      </c>
    </row>
    <row r="1689" spans="1:2" x14ac:dyDescent="0.25">
      <c r="A1689" t="str">
        <v>Bøgevej 23, 5400 Bogense</v>
      </c>
      <c r="B1689">
        <v>5444179</v>
      </c>
    </row>
    <row r="1690" spans="1:2" x14ac:dyDescent="0.25">
      <c r="A1690" t="str">
        <v>Bøgevej 20, 5400 Bogense</v>
      </c>
      <c r="B1690">
        <v>5444180</v>
      </c>
    </row>
    <row r="1691" spans="1:2" x14ac:dyDescent="0.25">
      <c r="A1691" t="str">
        <v>Violvej 3, 5400 Bogense</v>
      </c>
      <c r="B1691">
        <v>5444181</v>
      </c>
    </row>
    <row r="1692" spans="1:2" x14ac:dyDescent="0.25">
      <c r="A1692" t="str">
        <v>Violvej 1, 5400 Bogense</v>
      </c>
      <c r="B1692">
        <v>5444182</v>
      </c>
    </row>
    <row r="1693" spans="1:2" x14ac:dyDescent="0.25">
      <c r="A1693" t="str">
        <v>Bøgevej 22, 5400 Bogense</v>
      </c>
      <c r="B1693">
        <v>5444183</v>
      </c>
    </row>
    <row r="1694" spans="1:2" x14ac:dyDescent="0.25">
      <c r="A1694" t="str">
        <v>Bøgevej 24, 5400 Bogense</v>
      </c>
      <c r="B1694">
        <v>5444184</v>
      </c>
    </row>
    <row r="1695" spans="1:2" x14ac:dyDescent="0.25">
      <c r="A1695" t="str">
        <v>Bøgevej 26, 5400 Bogense</v>
      </c>
      <c r="B1695">
        <v>5444185</v>
      </c>
    </row>
    <row r="1696" spans="1:2" x14ac:dyDescent="0.25">
      <c r="A1696" t="str">
        <v>Bøgevej 28, 5400 Bogense</v>
      </c>
      <c r="B1696">
        <v>5444186</v>
      </c>
    </row>
    <row r="1697" spans="1:2" x14ac:dyDescent="0.25">
      <c r="A1697" t="str">
        <v>Valmuevej 2, 5400 Bogense</v>
      </c>
      <c r="B1697">
        <v>5444187</v>
      </c>
    </row>
    <row r="1698" spans="1:2" x14ac:dyDescent="0.25">
      <c r="A1698" t="str">
        <v>Valmuevej 4, 5400 Bogense</v>
      </c>
      <c r="B1698">
        <v>5444188</v>
      </c>
    </row>
    <row r="1699" spans="1:2" x14ac:dyDescent="0.25">
      <c r="A1699" t="str">
        <v>Valmuevej 6, 5400 Bogense</v>
      </c>
      <c r="B1699">
        <v>5444189</v>
      </c>
    </row>
    <row r="1700" spans="1:2" x14ac:dyDescent="0.25">
      <c r="A1700" t="str">
        <v>Valmuevej 9, 5400 Bogense</v>
      </c>
      <c r="B1700">
        <v>5444190</v>
      </c>
    </row>
    <row r="1701" spans="1:2" x14ac:dyDescent="0.25">
      <c r="A1701" t="str">
        <v>Valmuevej 7, 5400 Bogense</v>
      </c>
      <c r="B1701">
        <v>5444191</v>
      </c>
    </row>
    <row r="1702" spans="1:2" x14ac:dyDescent="0.25">
      <c r="A1702" t="str">
        <v>Valmuevej 5, 5400 Bogense</v>
      </c>
      <c r="B1702">
        <v>5444192</v>
      </c>
    </row>
    <row r="1703" spans="1:2" x14ac:dyDescent="0.25">
      <c r="A1703" t="str">
        <v>Valmuevej 3, 5400 Bogense</v>
      </c>
      <c r="B1703">
        <v>5444193</v>
      </c>
    </row>
    <row r="1704" spans="1:2" x14ac:dyDescent="0.25">
      <c r="A1704" t="str">
        <v>Valmuevej 1, 5400 Bogense</v>
      </c>
      <c r="B1704">
        <v>5444194</v>
      </c>
    </row>
    <row r="1705" spans="1:2" x14ac:dyDescent="0.25">
      <c r="A1705" t="str">
        <v>Tjørnevej 2, 5400 Bogense</v>
      </c>
      <c r="B1705">
        <v>5444195</v>
      </c>
    </row>
    <row r="1706" spans="1:2" x14ac:dyDescent="0.25">
      <c r="A1706" t="str">
        <v>Tjørnevej 4, 5400 Bogense</v>
      </c>
      <c r="B1706">
        <v>5444196</v>
      </c>
    </row>
    <row r="1707" spans="1:2" x14ac:dyDescent="0.25">
      <c r="A1707" t="str">
        <v>Tjørnevej 6, 5400 Bogense</v>
      </c>
      <c r="B1707">
        <v>5444197</v>
      </c>
    </row>
    <row r="1708" spans="1:2" x14ac:dyDescent="0.25">
      <c r="A1708" t="str">
        <v>Tjørnevej 8, 5400 Bogense</v>
      </c>
      <c r="B1708">
        <v>5444198</v>
      </c>
    </row>
    <row r="1709" spans="1:2" x14ac:dyDescent="0.25">
      <c r="A1709" t="str">
        <v>Tjørnevej 10, 5400 Bogense</v>
      </c>
      <c r="B1709">
        <v>5444199</v>
      </c>
    </row>
    <row r="1710" spans="1:2" x14ac:dyDescent="0.25">
      <c r="A1710" t="str">
        <v>Engkarsevej 2, 5400 Bogense</v>
      </c>
      <c r="B1710">
        <v>5444200</v>
      </c>
    </row>
    <row r="1711" spans="1:2" x14ac:dyDescent="0.25">
      <c r="A1711" t="str">
        <v>Engkarsevej 4, 5400 Bogense</v>
      </c>
      <c r="B1711">
        <v>5444201</v>
      </c>
    </row>
    <row r="1712" spans="1:2" x14ac:dyDescent="0.25">
      <c r="A1712" t="str">
        <v>Engkarsevej 6, 5400 Bogense</v>
      </c>
      <c r="B1712">
        <v>5444202</v>
      </c>
    </row>
    <row r="1713" spans="1:2" x14ac:dyDescent="0.25">
      <c r="A1713" t="str">
        <v>Engkarsevej 8, 5400 Bogense</v>
      </c>
      <c r="B1713">
        <v>5444203</v>
      </c>
    </row>
    <row r="1714" spans="1:2" x14ac:dyDescent="0.25">
      <c r="A1714" t="str">
        <v>Engkarsevej 10, 5400 Bogense</v>
      </c>
      <c r="B1714">
        <v>5444204</v>
      </c>
    </row>
    <row r="1715" spans="1:2" x14ac:dyDescent="0.25">
      <c r="A1715" t="str">
        <v>Tjørnevej 5, 5400 Bogense</v>
      </c>
      <c r="B1715">
        <v>5444205</v>
      </c>
    </row>
    <row r="1716" spans="1:2" x14ac:dyDescent="0.25">
      <c r="A1716" t="str">
        <v>Tjørnevej 3, 5400 Bogense</v>
      </c>
      <c r="B1716">
        <v>5444206</v>
      </c>
    </row>
    <row r="1717" spans="1:2" x14ac:dyDescent="0.25">
      <c r="A1717" t="str">
        <v>Tjørnevej 1, 5400 Bogense</v>
      </c>
      <c r="B1717">
        <v>5444207</v>
      </c>
    </row>
    <row r="1718" spans="1:2" x14ac:dyDescent="0.25">
      <c r="A1718" t="str">
        <v>Platanvej 2, 5400 Bogense</v>
      </c>
      <c r="B1718">
        <v>5444208</v>
      </c>
    </row>
    <row r="1719" spans="1:2" x14ac:dyDescent="0.25">
      <c r="A1719" t="str">
        <v>Platanvej 4, 5400 Bogense</v>
      </c>
      <c r="B1719">
        <v>5444209</v>
      </c>
    </row>
    <row r="1720" spans="1:2" x14ac:dyDescent="0.25">
      <c r="A1720" t="str">
        <v>Engkarsevej 1, 5400 Bogense</v>
      </c>
      <c r="B1720">
        <v>5444210</v>
      </c>
    </row>
    <row r="1721" spans="1:2" x14ac:dyDescent="0.25">
      <c r="A1721" t="str">
        <v>Engkarsevej 1, 5400 Bogense</v>
      </c>
      <c r="B1721">
        <v>5444210</v>
      </c>
    </row>
    <row r="1722" spans="1:2" x14ac:dyDescent="0.25">
      <c r="A1722" t="str">
        <v>Engkarsevej 11, 5400 Bogense</v>
      </c>
      <c r="B1722">
        <v>5444210</v>
      </c>
    </row>
    <row r="1723" spans="1:2" x14ac:dyDescent="0.25">
      <c r="A1723" t="str">
        <v>Engkarsevej 13, 5400 Bogense</v>
      </c>
      <c r="B1723">
        <v>5444210</v>
      </c>
    </row>
    <row r="1724" spans="1:2" x14ac:dyDescent="0.25">
      <c r="A1724" t="str">
        <v>Engkarsevej 15, 5400 Bogense</v>
      </c>
      <c r="B1724">
        <v>5444210</v>
      </c>
    </row>
    <row r="1725" spans="1:2" x14ac:dyDescent="0.25">
      <c r="A1725" t="str">
        <v>Engkarsevej 17, 5400 Bogense</v>
      </c>
      <c r="B1725">
        <v>5444210</v>
      </c>
    </row>
    <row r="1726" spans="1:2" x14ac:dyDescent="0.25">
      <c r="A1726" t="str">
        <v>Engkarsevej 19, 5400 Bogense</v>
      </c>
      <c r="B1726">
        <v>5444210</v>
      </c>
    </row>
    <row r="1727" spans="1:2" x14ac:dyDescent="0.25">
      <c r="A1727" t="str">
        <v>Engkarsevej 21, 5400 Bogense</v>
      </c>
      <c r="B1727">
        <v>5444210</v>
      </c>
    </row>
    <row r="1728" spans="1:2" x14ac:dyDescent="0.25">
      <c r="A1728" t="str">
        <v>Engkarsevej 23, 5400 Bogense</v>
      </c>
      <c r="B1728">
        <v>5444210</v>
      </c>
    </row>
    <row r="1729" spans="1:2" x14ac:dyDescent="0.25">
      <c r="A1729" t="str">
        <v>Engkarsevej 3, 5400 Bogense</v>
      </c>
      <c r="B1729">
        <v>5444210</v>
      </c>
    </row>
    <row r="1730" spans="1:2" x14ac:dyDescent="0.25">
      <c r="A1730" t="str">
        <v>Engkarsevej 5, 5400 Bogense</v>
      </c>
      <c r="B1730">
        <v>5444210</v>
      </c>
    </row>
    <row r="1731" spans="1:2" x14ac:dyDescent="0.25">
      <c r="A1731" t="str">
        <v>Engkarsevej 7, 5400 Bogense</v>
      </c>
      <c r="B1731">
        <v>5444210</v>
      </c>
    </row>
    <row r="1732" spans="1:2" x14ac:dyDescent="0.25">
      <c r="A1732" t="str">
        <v>Engkarsevej 9, 5400 Bogense</v>
      </c>
      <c r="B1732">
        <v>5444210</v>
      </c>
    </row>
    <row r="1733" spans="1:2" x14ac:dyDescent="0.25">
      <c r="A1733" t="str">
        <v>Bøgevej 25, 5400 Bogense</v>
      </c>
      <c r="B1733">
        <v>5444211</v>
      </c>
    </row>
    <row r="1734" spans="1:2" x14ac:dyDescent="0.25">
      <c r="A1734" t="str">
        <v>Birkevej 10, 5400 Bogense</v>
      </c>
      <c r="B1734">
        <v>5444211</v>
      </c>
    </row>
    <row r="1735" spans="1:2" x14ac:dyDescent="0.25">
      <c r="A1735" t="str">
        <v>Birkevej 12, 5400 Bogense</v>
      </c>
      <c r="B1735">
        <v>5444211</v>
      </c>
    </row>
    <row r="1736" spans="1:2" x14ac:dyDescent="0.25">
      <c r="A1736" t="str">
        <v>Birkevej 14, 5400 Bogense</v>
      </c>
      <c r="B1736">
        <v>5444211</v>
      </c>
    </row>
    <row r="1737" spans="1:2" x14ac:dyDescent="0.25">
      <c r="A1737" t="str">
        <v>Birkevej 16, 5400 Bogense</v>
      </c>
      <c r="B1737">
        <v>5444211</v>
      </c>
    </row>
    <row r="1738" spans="1:2" x14ac:dyDescent="0.25">
      <c r="A1738" t="str">
        <v>Birkevej 8, 5400 Bogense</v>
      </c>
      <c r="B1738">
        <v>5444211</v>
      </c>
    </row>
    <row r="1739" spans="1:2" x14ac:dyDescent="0.25">
      <c r="A1739" t="str">
        <v>Bøgevej 25, 5400 Bogense</v>
      </c>
      <c r="B1739">
        <v>5444211</v>
      </c>
    </row>
    <row r="1740" spans="1:2" x14ac:dyDescent="0.25">
      <c r="A1740" t="str">
        <v>Bøgevej 27, 5400 Bogense</v>
      </c>
      <c r="B1740">
        <v>5444211</v>
      </c>
    </row>
    <row r="1741" spans="1:2" x14ac:dyDescent="0.25">
      <c r="A1741" t="str">
        <v>Bøgevej 29, 5400 Bogense</v>
      </c>
      <c r="B1741">
        <v>5444211</v>
      </c>
    </row>
    <row r="1742" spans="1:2" x14ac:dyDescent="0.25">
      <c r="A1742" t="str">
        <v>Bøgevej 31, 5400 Bogense</v>
      </c>
      <c r="B1742">
        <v>5444211</v>
      </c>
    </row>
    <row r="1743" spans="1:2" x14ac:dyDescent="0.25">
      <c r="A1743" t="str">
        <v>Bøgevej 33, 5400 Bogense</v>
      </c>
      <c r="B1743">
        <v>5444211</v>
      </c>
    </row>
    <row r="1744" spans="1:2" x14ac:dyDescent="0.25">
      <c r="A1744" t="str">
        <v>Platanvej 1, 5400 Bogense</v>
      </c>
      <c r="B1744">
        <v>5444211</v>
      </c>
    </row>
    <row r="1745" spans="1:2" x14ac:dyDescent="0.25">
      <c r="A1745" t="str">
        <v>Platanvej 11, 5400 Bogense</v>
      </c>
      <c r="B1745">
        <v>5444211</v>
      </c>
    </row>
    <row r="1746" spans="1:2" x14ac:dyDescent="0.25">
      <c r="A1746" t="str">
        <v>Platanvej 13, 5400 Bogense</v>
      </c>
      <c r="B1746">
        <v>5444211</v>
      </c>
    </row>
    <row r="1747" spans="1:2" x14ac:dyDescent="0.25">
      <c r="A1747" t="str">
        <v>Platanvej 15, 5400 Bogense</v>
      </c>
      <c r="B1747">
        <v>5444211</v>
      </c>
    </row>
    <row r="1748" spans="1:2" x14ac:dyDescent="0.25">
      <c r="A1748" t="str">
        <v>Platanvej 17, 5400 Bogense</v>
      </c>
      <c r="B1748">
        <v>5444211</v>
      </c>
    </row>
    <row r="1749" spans="1:2" x14ac:dyDescent="0.25">
      <c r="A1749" t="str">
        <v>Platanvej 3, 5400 Bogense</v>
      </c>
      <c r="B1749">
        <v>5444211</v>
      </c>
    </row>
    <row r="1750" spans="1:2" x14ac:dyDescent="0.25">
      <c r="A1750" t="str">
        <v>Platanvej 5, 5400 Bogense</v>
      </c>
      <c r="B1750">
        <v>5444211</v>
      </c>
    </row>
    <row r="1751" spans="1:2" x14ac:dyDescent="0.25">
      <c r="A1751" t="str">
        <v>Platanvej 7, 5400 Bogense</v>
      </c>
      <c r="B1751">
        <v>5444211</v>
      </c>
    </row>
    <row r="1752" spans="1:2" x14ac:dyDescent="0.25">
      <c r="A1752" t="str">
        <v>Platanvej 9, 5400 Bogense</v>
      </c>
      <c r="B1752">
        <v>5444211</v>
      </c>
    </row>
    <row r="1753" spans="1:2" x14ac:dyDescent="0.25">
      <c r="A1753" t="str">
        <v>Skovvej 73, 5400 Bogense</v>
      </c>
      <c r="B1753">
        <v>5444213</v>
      </c>
    </row>
    <row r="1754" spans="1:2" x14ac:dyDescent="0.25">
      <c r="A1754" t="str">
        <v>Huggetvej 22, 5400 Bogense</v>
      </c>
      <c r="B1754">
        <v>5444214</v>
      </c>
    </row>
    <row r="1755" spans="1:2" x14ac:dyDescent="0.25">
      <c r="A1755" t="str">
        <v>Huggetvej 20, 5400 Bogense</v>
      </c>
      <c r="B1755">
        <v>5444215</v>
      </c>
    </row>
    <row r="1756" spans="1:2" x14ac:dyDescent="0.25">
      <c r="A1756" t="str">
        <v>Svelvikparken 37, 5400 Bogense</v>
      </c>
      <c r="B1756">
        <v>5444218</v>
      </c>
    </row>
    <row r="1757" spans="1:2" x14ac:dyDescent="0.25">
      <c r="A1757" t="str">
        <v>Svelvikparken 6, 5400 Bogense</v>
      </c>
      <c r="B1757">
        <v>5444219</v>
      </c>
    </row>
    <row r="1758" spans="1:2" x14ac:dyDescent="0.25">
      <c r="A1758" t="str">
        <v>Svelvikparken 1, 5400 Bogense</v>
      </c>
      <c r="B1758">
        <v>5444221</v>
      </c>
    </row>
    <row r="1759" spans="1:2" x14ac:dyDescent="0.25">
      <c r="A1759" t="str">
        <v>Svelvikparken 3, 5400 Bogense</v>
      </c>
      <c r="B1759">
        <v>5444222</v>
      </c>
    </row>
    <row r="1760" spans="1:2" x14ac:dyDescent="0.25">
      <c r="A1760" t="str">
        <v>Svelvikparken 5, 5400 Bogense</v>
      </c>
      <c r="B1760">
        <v>5444223</v>
      </c>
    </row>
    <row r="1761" spans="1:2" x14ac:dyDescent="0.25">
      <c r="A1761" t="str">
        <v>Svelvikparken 7, 5400 Bogense</v>
      </c>
      <c r="B1761">
        <v>5444224</v>
      </c>
    </row>
    <row r="1762" spans="1:2" x14ac:dyDescent="0.25">
      <c r="A1762" t="str">
        <v>Svelvikparken 9, 5400 Bogense</v>
      </c>
      <c r="B1762">
        <v>5444225</v>
      </c>
    </row>
    <row r="1763" spans="1:2" x14ac:dyDescent="0.25">
      <c r="A1763" t="str">
        <v>Svelvikparken 29, 5400 Bogense</v>
      </c>
      <c r="B1763">
        <v>5444227</v>
      </c>
    </row>
    <row r="1764" spans="1:2" x14ac:dyDescent="0.25">
      <c r="A1764" t="str">
        <v>Svelvikparken 31, 5400 Bogense</v>
      </c>
      <c r="B1764">
        <v>5444228</v>
      </c>
    </row>
    <row r="1765" spans="1:2" x14ac:dyDescent="0.25">
      <c r="A1765" t="str">
        <v>Svelvikparken 33, 5400 Bogense</v>
      </c>
      <c r="B1765">
        <v>5444229</v>
      </c>
    </row>
    <row r="1766" spans="1:2" x14ac:dyDescent="0.25">
      <c r="A1766" t="str">
        <v>Svelvikparken 35, 5400 Bogense</v>
      </c>
      <c r="B1766">
        <v>5444230</v>
      </c>
    </row>
    <row r="1767" spans="1:2" x14ac:dyDescent="0.25">
      <c r="A1767" t="str">
        <v>Oslovej 2, 5400 Bogense</v>
      </c>
      <c r="B1767">
        <v>5444231</v>
      </c>
    </row>
    <row r="1768" spans="1:2" x14ac:dyDescent="0.25">
      <c r="A1768" t="str">
        <v>Oslovej 10, 5400 Bogense</v>
      </c>
      <c r="B1768">
        <v>5444231</v>
      </c>
    </row>
    <row r="1769" spans="1:2" x14ac:dyDescent="0.25">
      <c r="A1769" t="str">
        <v>Oslovej 12, 5400 Bogense</v>
      </c>
      <c r="B1769">
        <v>5444231</v>
      </c>
    </row>
    <row r="1770" spans="1:2" x14ac:dyDescent="0.25">
      <c r="A1770" t="str">
        <v>Oslovej 14, 5400 Bogense</v>
      </c>
      <c r="B1770">
        <v>5444231</v>
      </c>
    </row>
    <row r="1771" spans="1:2" x14ac:dyDescent="0.25">
      <c r="A1771" t="str">
        <v>Oslovej 16, 5400 Bogense</v>
      </c>
      <c r="B1771">
        <v>5444231</v>
      </c>
    </row>
    <row r="1772" spans="1:2" x14ac:dyDescent="0.25">
      <c r="A1772" t="str">
        <v>Oslovej 18, 5400 Bogense</v>
      </c>
      <c r="B1772">
        <v>5444231</v>
      </c>
    </row>
    <row r="1773" spans="1:2" x14ac:dyDescent="0.25">
      <c r="A1773" t="str">
        <v>Oslovej 2, 5400 Bogense</v>
      </c>
      <c r="B1773">
        <v>5444231</v>
      </c>
    </row>
    <row r="1774" spans="1:2" x14ac:dyDescent="0.25">
      <c r="A1774" t="str">
        <v>Oslovej 20, 5400 Bogense</v>
      </c>
      <c r="B1774">
        <v>5444231</v>
      </c>
    </row>
    <row r="1775" spans="1:2" x14ac:dyDescent="0.25">
      <c r="A1775" t="str">
        <v>Oslovej 22, 5400 Bogense</v>
      </c>
      <c r="B1775">
        <v>5444231</v>
      </c>
    </row>
    <row r="1776" spans="1:2" x14ac:dyDescent="0.25">
      <c r="A1776" t="str">
        <v>Oslovej 4, 5400 Bogense</v>
      </c>
      <c r="B1776">
        <v>5444231</v>
      </c>
    </row>
    <row r="1777" spans="1:2" x14ac:dyDescent="0.25">
      <c r="A1777" t="str">
        <v>Oslovej 6, 5400 Bogense</v>
      </c>
      <c r="B1777">
        <v>5444231</v>
      </c>
    </row>
    <row r="1778" spans="1:2" x14ac:dyDescent="0.25">
      <c r="A1778" t="str">
        <v>Oslovej 8, 5400 Bogense</v>
      </c>
      <c r="B1778">
        <v>5444231</v>
      </c>
    </row>
    <row r="1779" spans="1:2" x14ac:dyDescent="0.25">
      <c r="A1779" t="str">
        <v>Larvikparken 26, 5400 Bogense</v>
      </c>
      <c r="B1779">
        <v>5444232</v>
      </c>
    </row>
    <row r="1780" spans="1:2" x14ac:dyDescent="0.25">
      <c r="A1780" t="str">
        <v>Larvikparken 24, 5400 Bogense</v>
      </c>
      <c r="B1780">
        <v>5444233</v>
      </c>
    </row>
    <row r="1781" spans="1:2" x14ac:dyDescent="0.25">
      <c r="A1781" t="str">
        <v>Larvikparken 7, 5400 Bogense</v>
      </c>
      <c r="B1781">
        <v>5444234</v>
      </c>
    </row>
    <row r="1782" spans="1:2" x14ac:dyDescent="0.25">
      <c r="A1782" t="str">
        <v>Larvikparken 5, 5400 Bogense</v>
      </c>
      <c r="B1782">
        <v>5444235</v>
      </c>
    </row>
    <row r="1783" spans="1:2" x14ac:dyDescent="0.25">
      <c r="A1783" t="str">
        <v>Larvikparken 1, 5400 Bogense</v>
      </c>
      <c r="B1783">
        <v>5444236</v>
      </c>
    </row>
    <row r="1784" spans="1:2" x14ac:dyDescent="0.25">
      <c r="A1784" t="str">
        <v>Larvikparken 3, 5400 Bogense</v>
      </c>
      <c r="B1784">
        <v>5444237</v>
      </c>
    </row>
    <row r="1785" spans="1:2" x14ac:dyDescent="0.25">
      <c r="A1785" t="str">
        <v>Larvikparken 22, 5400 Bogense</v>
      </c>
      <c r="B1785">
        <v>5444238</v>
      </c>
    </row>
    <row r="1786" spans="1:2" x14ac:dyDescent="0.25">
      <c r="A1786" t="str">
        <v>Larvikparken 20, 5400 Bogense</v>
      </c>
      <c r="B1786">
        <v>5444239</v>
      </c>
    </row>
    <row r="1787" spans="1:2" x14ac:dyDescent="0.25">
      <c r="A1787" t="str">
        <v>Larvikparken 18, 5400 Bogense</v>
      </c>
      <c r="B1787">
        <v>5444240</v>
      </c>
    </row>
    <row r="1788" spans="1:2" x14ac:dyDescent="0.25">
      <c r="A1788" t="str">
        <v>Larvikparken 10A, 5400 Bogense</v>
      </c>
      <c r="B1788">
        <v>5444241</v>
      </c>
    </row>
    <row r="1789" spans="1:2" x14ac:dyDescent="0.25">
      <c r="A1789" t="str">
        <v>Larvikparken 10B, 5400 Bogense</v>
      </c>
      <c r="B1789">
        <v>5444241</v>
      </c>
    </row>
    <row r="1790" spans="1:2" x14ac:dyDescent="0.25">
      <c r="A1790" t="str">
        <v>Larvikparken 10C, 5400 Bogense</v>
      </c>
      <c r="B1790">
        <v>5444241</v>
      </c>
    </row>
    <row r="1791" spans="1:2" x14ac:dyDescent="0.25">
      <c r="A1791" t="str">
        <v>Larvikparken 12A, 5400 Bogense</v>
      </c>
      <c r="B1791">
        <v>5444241</v>
      </c>
    </row>
    <row r="1792" spans="1:2" x14ac:dyDescent="0.25">
      <c r="A1792" t="str">
        <v>Larvikparken 12B, 5400 Bogense</v>
      </c>
      <c r="B1792">
        <v>5444241</v>
      </c>
    </row>
    <row r="1793" spans="1:2" x14ac:dyDescent="0.25">
      <c r="A1793" t="str">
        <v>Larvikparken 14A, 5400 Bogense</v>
      </c>
      <c r="B1793">
        <v>5444241</v>
      </c>
    </row>
    <row r="1794" spans="1:2" x14ac:dyDescent="0.25">
      <c r="A1794" t="str">
        <v>Larvikparken 14B, 5400 Bogense</v>
      </c>
      <c r="B1794">
        <v>5444241</v>
      </c>
    </row>
    <row r="1795" spans="1:2" x14ac:dyDescent="0.25">
      <c r="A1795" t="str">
        <v>Larvikparken 2A, 5400 Bogense</v>
      </c>
      <c r="B1795">
        <v>5444242</v>
      </c>
    </row>
    <row r="1796" spans="1:2" x14ac:dyDescent="0.25">
      <c r="A1796" t="str">
        <v>Larvikparken 2B, 5400 Bogense</v>
      </c>
      <c r="B1796">
        <v>5444242</v>
      </c>
    </row>
    <row r="1797" spans="1:2" x14ac:dyDescent="0.25">
      <c r="A1797" t="str">
        <v>Larvikparken 4A, 5400 Bogense</v>
      </c>
      <c r="B1797">
        <v>5444242</v>
      </c>
    </row>
    <row r="1798" spans="1:2" x14ac:dyDescent="0.25">
      <c r="A1798" t="str">
        <v>Larvikparken 4B, 5400 Bogense</v>
      </c>
      <c r="B1798">
        <v>5444242</v>
      </c>
    </row>
    <row r="1799" spans="1:2" x14ac:dyDescent="0.25">
      <c r="A1799" t="str">
        <v>Larvikparken 4C, 5400 Bogense</v>
      </c>
      <c r="B1799">
        <v>5444242</v>
      </c>
    </row>
    <row r="1800" spans="1:2" x14ac:dyDescent="0.25">
      <c r="A1800" t="str">
        <v>Larvikparken 6A, 5400 Bogense</v>
      </c>
      <c r="B1800">
        <v>5444242</v>
      </c>
    </row>
    <row r="1801" spans="1:2" x14ac:dyDescent="0.25">
      <c r="A1801" t="str">
        <v>Larvikparken 6B, 5400 Bogense</v>
      </c>
      <c r="B1801">
        <v>5444242</v>
      </c>
    </row>
    <row r="1802" spans="1:2" x14ac:dyDescent="0.25">
      <c r="A1802" t="str">
        <v>Larvikparken 8, 5400 Bogense</v>
      </c>
      <c r="B1802">
        <v>5444242</v>
      </c>
    </row>
    <row r="1803" spans="1:2" x14ac:dyDescent="0.25">
      <c r="A1803" t="str">
        <v>Svelvikparken 39, 5400 Bogense</v>
      </c>
      <c r="B1803">
        <v>5444243</v>
      </c>
    </row>
    <row r="1804" spans="1:2" x14ac:dyDescent="0.25">
      <c r="A1804" t="str">
        <v>Svelvikparken 41, 5400 Bogense</v>
      </c>
      <c r="B1804">
        <v>5444244</v>
      </c>
    </row>
    <row r="1805" spans="1:2" x14ac:dyDescent="0.25">
      <c r="A1805" t="str">
        <v>Svelvikparken 43, 5400 Bogense</v>
      </c>
      <c r="B1805">
        <v>5444245</v>
      </c>
    </row>
    <row r="1806" spans="1:2" x14ac:dyDescent="0.25">
      <c r="A1806" t="str">
        <v>Svelvikparken 65A, 5400 Bogense</v>
      </c>
      <c r="B1806">
        <v>5444248</v>
      </c>
    </row>
    <row r="1807" spans="1:2" x14ac:dyDescent="0.25">
      <c r="A1807" t="str">
        <v>Svelvikparken 65A, 5400 Bogense</v>
      </c>
      <c r="B1807">
        <v>5444248</v>
      </c>
    </row>
    <row r="1808" spans="1:2" x14ac:dyDescent="0.25">
      <c r="A1808" t="str">
        <v>Svelvikparken 65B, 5400 Bogense</v>
      </c>
      <c r="B1808">
        <v>5444248</v>
      </c>
    </row>
    <row r="1809" spans="1:2" x14ac:dyDescent="0.25">
      <c r="A1809" t="str">
        <v>Svelvikparken 65C, 5400 Bogense</v>
      </c>
      <c r="B1809">
        <v>5444248</v>
      </c>
    </row>
    <row r="1810" spans="1:2" x14ac:dyDescent="0.25">
      <c r="A1810" t="str">
        <v>Svelvikparken 67A, 5400 Bogense</v>
      </c>
      <c r="B1810">
        <v>5444248</v>
      </c>
    </row>
    <row r="1811" spans="1:2" x14ac:dyDescent="0.25">
      <c r="A1811" t="str">
        <v>Svelvikparken 67B, 5400 Bogense</v>
      </c>
      <c r="B1811">
        <v>5444248</v>
      </c>
    </row>
    <row r="1812" spans="1:2" x14ac:dyDescent="0.25">
      <c r="A1812" t="str">
        <v>Svelvikparken 67C, 5400 Bogense</v>
      </c>
      <c r="B1812">
        <v>5444248</v>
      </c>
    </row>
    <row r="1813" spans="1:2" x14ac:dyDescent="0.25">
      <c r="A1813" t="str">
        <v>Svelvikparken 67D, 5400 Bogense</v>
      </c>
      <c r="B1813">
        <v>5444248</v>
      </c>
    </row>
    <row r="1814" spans="1:2" x14ac:dyDescent="0.25">
      <c r="A1814" t="str">
        <v>Svelvikparken 69A, 5400 Bogense</v>
      </c>
      <c r="B1814">
        <v>5444248</v>
      </c>
    </row>
    <row r="1815" spans="1:2" x14ac:dyDescent="0.25">
      <c r="A1815" t="str">
        <v>Svelvikparken 69B, 5400 Bogense</v>
      </c>
      <c r="B1815">
        <v>5444248</v>
      </c>
    </row>
    <row r="1816" spans="1:2" x14ac:dyDescent="0.25">
      <c r="A1816" t="str">
        <v>Svelvikparken 69C, 5400 Bogense</v>
      </c>
      <c r="B1816">
        <v>5444248</v>
      </c>
    </row>
    <row r="1817" spans="1:2" x14ac:dyDescent="0.25">
      <c r="A1817" t="str">
        <v>Svelvikparken 71, 5400 Bogense</v>
      </c>
      <c r="B1817">
        <v>5444249</v>
      </c>
    </row>
    <row r="1818" spans="1:2" x14ac:dyDescent="0.25">
      <c r="A1818" t="str">
        <v>Svelvikparken 73, 5400 Bogense</v>
      </c>
      <c r="B1818">
        <v>5444250</v>
      </c>
    </row>
    <row r="1819" spans="1:2" x14ac:dyDescent="0.25">
      <c r="A1819" t="str">
        <v>Svelvikparken 75, 5400 Bogense</v>
      </c>
      <c r="B1819">
        <v>5444251</v>
      </c>
    </row>
    <row r="1820" spans="1:2" x14ac:dyDescent="0.25">
      <c r="A1820" t="str">
        <v>Svelvikparken 77, 5400 Bogense</v>
      </c>
      <c r="B1820">
        <v>5444252</v>
      </c>
    </row>
    <row r="1821" spans="1:2" x14ac:dyDescent="0.25">
      <c r="A1821" t="str">
        <v>Svelvikparken 79, 5400 Bogense</v>
      </c>
      <c r="B1821">
        <v>5444253</v>
      </c>
    </row>
    <row r="1822" spans="1:2" x14ac:dyDescent="0.25">
      <c r="A1822" t="str">
        <v>Svelvikparken 81, 5400 Bogense</v>
      </c>
      <c r="B1822">
        <v>5444254</v>
      </c>
    </row>
    <row r="1823" spans="1:2" x14ac:dyDescent="0.25">
      <c r="A1823" t="str">
        <v>Svelvikparken 83, 5400 Bogense</v>
      </c>
      <c r="B1823">
        <v>5444255</v>
      </c>
    </row>
    <row r="1824" spans="1:2" x14ac:dyDescent="0.25">
      <c r="A1824" t="str">
        <v>Svelvikparken 85, 5400 Bogense</v>
      </c>
      <c r="B1824">
        <v>5444256</v>
      </c>
    </row>
    <row r="1825" spans="1:2" x14ac:dyDescent="0.25">
      <c r="A1825" t="str">
        <v>Oslovej 24, 5400 Bogense</v>
      </c>
      <c r="B1825">
        <v>5444257</v>
      </c>
    </row>
    <row r="1826" spans="1:2" x14ac:dyDescent="0.25">
      <c r="A1826" t="str">
        <v>Oslovej 24, 5400 Bogense</v>
      </c>
      <c r="B1826">
        <v>5444257</v>
      </c>
    </row>
    <row r="1827" spans="1:2" x14ac:dyDescent="0.25">
      <c r="A1827" t="str">
        <v>Oslovej 26, 5400 Bogense</v>
      </c>
      <c r="B1827">
        <v>5444257</v>
      </c>
    </row>
    <row r="1828" spans="1:2" x14ac:dyDescent="0.25">
      <c r="A1828" t="str">
        <v>Oslovej 28, 5400 Bogense</v>
      </c>
      <c r="B1828">
        <v>5444257</v>
      </c>
    </row>
    <row r="1829" spans="1:2" x14ac:dyDescent="0.25">
      <c r="A1829" t="str">
        <v>Oslovej 30, 5400 Bogense</v>
      </c>
      <c r="B1829">
        <v>5444257</v>
      </c>
    </row>
    <row r="1830" spans="1:2" x14ac:dyDescent="0.25">
      <c r="A1830" t="str">
        <v>Oslovej 32, 5400 Bogense</v>
      </c>
      <c r="B1830">
        <v>5444257</v>
      </c>
    </row>
    <row r="1831" spans="1:2" x14ac:dyDescent="0.25">
      <c r="A1831" t="str">
        <v>Oslovej 34, 5400 Bogense</v>
      </c>
      <c r="B1831">
        <v>5444257</v>
      </c>
    </row>
    <row r="1832" spans="1:2" x14ac:dyDescent="0.25">
      <c r="A1832" t="str">
        <v>Oslovej 36, 5400 Bogense</v>
      </c>
      <c r="B1832">
        <v>5444257</v>
      </c>
    </row>
    <row r="1833" spans="1:2" x14ac:dyDescent="0.25">
      <c r="A1833" t="str">
        <v>Oslovej 38, 5400 Bogense</v>
      </c>
      <c r="B1833">
        <v>5444257</v>
      </c>
    </row>
    <row r="1834" spans="1:2" x14ac:dyDescent="0.25">
      <c r="A1834" t="str">
        <v>Bergenparken 4, 5400 Bogense</v>
      </c>
      <c r="B1834">
        <v>5444258</v>
      </c>
    </row>
    <row r="1835" spans="1:2" x14ac:dyDescent="0.25">
      <c r="A1835" t="str">
        <v>Bergenparken 6, 5400 Bogense</v>
      </c>
      <c r="B1835">
        <v>5444259</v>
      </c>
    </row>
    <row r="1836" spans="1:2" x14ac:dyDescent="0.25">
      <c r="A1836" t="str">
        <v>Bergenparken 8, 5400 Bogense</v>
      </c>
      <c r="B1836">
        <v>5444260</v>
      </c>
    </row>
    <row r="1837" spans="1:2" x14ac:dyDescent="0.25">
      <c r="A1837" t="str">
        <v>Bergenparken 18, 5400 Bogense</v>
      </c>
      <c r="B1837">
        <v>5444262</v>
      </c>
    </row>
    <row r="1838" spans="1:2" x14ac:dyDescent="0.25">
      <c r="A1838" t="str">
        <v>Bergenparken 26, 5400 Bogense</v>
      </c>
      <c r="B1838">
        <v>5444263</v>
      </c>
    </row>
    <row r="1839" spans="1:2" x14ac:dyDescent="0.25">
      <c r="A1839" t="str">
        <v>Bergenparken 7, 5400 Bogense</v>
      </c>
      <c r="B1839">
        <v>5444264</v>
      </c>
    </row>
    <row r="1840" spans="1:2" x14ac:dyDescent="0.25">
      <c r="A1840" t="str">
        <v>Oslovej 44, 5400 Bogense</v>
      </c>
      <c r="B1840">
        <v>5444265</v>
      </c>
    </row>
    <row r="1841" spans="1:2" x14ac:dyDescent="0.25">
      <c r="A1841" t="str">
        <v>Oslovej 40A, 5400 Bogense</v>
      </c>
      <c r="B1841">
        <v>5444266</v>
      </c>
    </row>
    <row r="1842" spans="1:2" x14ac:dyDescent="0.25">
      <c r="A1842" t="str">
        <v>Bergenparken 3, 5400 Bogense</v>
      </c>
      <c r="B1842">
        <v>5444267</v>
      </c>
    </row>
    <row r="1843" spans="1:2" x14ac:dyDescent="0.25">
      <c r="A1843" t="str">
        <v>Bergenparken 5, 5400 Bogense</v>
      </c>
      <c r="B1843">
        <v>5444268</v>
      </c>
    </row>
    <row r="1844" spans="1:2" x14ac:dyDescent="0.25">
      <c r="A1844" t="str">
        <v>Svelvikparken 12, 5400 Bogense</v>
      </c>
      <c r="B1844">
        <v>5444269</v>
      </c>
    </row>
    <row r="1845" spans="1:2" x14ac:dyDescent="0.25">
      <c r="A1845" t="str">
        <v>Svelvikparken 14, 5400 Bogense</v>
      </c>
      <c r="B1845">
        <v>5444270</v>
      </c>
    </row>
    <row r="1846" spans="1:2" x14ac:dyDescent="0.25">
      <c r="A1846" t="str">
        <v>Svelvikparken 11, 5400 Bogense</v>
      </c>
      <c r="B1846">
        <v>5444271</v>
      </c>
    </row>
    <row r="1847" spans="1:2" x14ac:dyDescent="0.25">
      <c r="A1847" t="str">
        <v>Svelvikparken 13, 5400 Bogense</v>
      </c>
      <c r="B1847">
        <v>5444272</v>
      </c>
    </row>
    <row r="1848" spans="1:2" x14ac:dyDescent="0.25">
      <c r="A1848" t="str">
        <v>Svelvikparken 8, 5400 Bogense</v>
      </c>
      <c r="B1848">
        <v>5444273</v>
      </c>
    </row>
    <row r="1849" spans="1:2" x14ac:dyDescent="0.25">
      <c r="A1849" t="str">
        <v>Oslovej 46, 5400 Bogense</v>
      </c>
      <c r="B1849">
        <v>5444274</v>
      </c>
    </row>
    <row r="1850" spans="1:2" x14ac:dyDescent="0.25">
      <c r="A1850" t="str">
        <v>Bergenparken 20, 5400 Bogense</v>
      </c>
      <c r="B1850">
        <v>5444275</v>
      </c>
    </row>
    <row r="1851" spans="1:2" x14ac:dyDescent="0.25">
      <c r="A1851" t="str">
        <v>Bergenparken 22, 5400 Bogense</v>
      </c>
      <c r="B1851">
        <v>5444276</v>
      </c>
    </row>
    <row r="1852" spans="1:2" x14ac:dyDescent="0.25">
      <c r="A1852" t="str">
        <v>Bergenparken 24, 5400 Bogense</v>
      </c>
      <c r="B1852">
        <v>5444277</v>
      </c>
    </row>
    <row r="1853" spans="1:2" x14ac:dyDescent="0.25">
      <c r="A1853" t="str">
        <v>Kalkværksvej 4, 5400 Bogense</v>
      </c>
      <c r="B1853">
        <v>5444282</v>
      </c>
    </row>
    <row r="1854" spans="1:2" x14ac:dyDescent="0.25">
      <c r="A1854" t="str">
        <v>Kalkværksvej 6, 5400 Bogense</v>
      </c>
      <c r="B1854">
        <v>5444283</v>
      </c>
    </row>
    <row r="1855" spans="1:2" x14ac:dyDescent="0.25">
      <c r="A1855" t="str">
        <v>Odensevej 23, 5400 Bogense</v>
      </c>
      <c r="B1855">
        <v>5444284</v>
      </c>
    </row>
    <row r="1856" spans="1:2" x14ac:dyDescent="0.25">
      <c r="A1856" t="str">
        <v>Kalkværksvej 8, 5400 Bogense</v>
      </c>
      <c r="B1856">
        <v>5444286</v>
      </c>
    </row>
    <row r="1857" spans="1:2" x14ac:dyDescent="0.25">
      <c r="A1857" t="str">
        <v>Odensevej 21, 1., 5400 Bogense</v>
      </c>
      <c r="B1857">
        <v>5444287</v>
      </c>
    </row>
    <row r="1858" spans="1:2" x14ac:dyDescent="0.25">
      <c r="A1858" t="str">
        <v>Odensevej 21, st., 5400 Bogense</v>
      </c>
      <c r="B1858">
        <v>5444287</v>
      </c>
    </row>
    <row r="1859" spans="1:2" x14ac:dyDescent="0.25">
      <c r="A1859" t="str">
        <v>Kalkværksvej 2, 5400 Bogense</v>
      </c>
      <c r="B1859">
        <v>5444288</v>
      </c>
    </row>
    <row r="1860" spans="1:2" x14ac:dyDescent="0.25">
      <c r="A1860" t="str">
        <v>Odensevej 19, 5400 Bogense</v>
      </c>
      <c r="B1860">
        <v>5444290</v>
      </c>
    </row>
    <row r="1861" spans="1:2" x14ac:dyDescent="0.25">
      <c r="A1861" t="str">
        <v>Odensevej 17, 5400 Bogense</v>
      </c>
      <c r="B1861">
        <v>5444291</v>
      </c>
    </row>
    <row r="1862" spans="1:2" x14ac:dyDescent="0.25">
      <c r="A1862" t="str">
        <v>Odensevej 15, 5400 Bogense</v>
      </c>
      <c r="B1862">
        <v>5444292</v>
      </c>
    </row>
    <row r="1863" spans="1:2" x14ac:dyDescent="0.25">
      <c r="A1863" t="str">
        <v>Kalkværksvej 10, 5400 Bogense</v>
      </c>
      <c r="B1863">
        <v>5444293</v>
      </c>
    </row>
    <row r="1864" spans="1:2" x14ac:dyDescent="0.25">
      <c r="A1864" t="str">
        <v>Gl. Toldbodvej 5, 5400 Bogense</v>
      </c>
      <c r="B1864">
        <v>5444294</v>
      </c>
    </row>
    <row r="1865" spans="1:2" x14ac:dyDescent="0.25">
      <c r="A1865" t="str">
        <v>Gl. Toldbodvej 7, 5400 Bogense</v>
      </c>
      <c r="B1865">
        <v>5444295</v>
      </c>
    </row>
    <row r="1866" spans="1:2" x14ac:dyDescent="0.25">
      <c r="A1866" t="str">
        <v>Gl. Toldbodvej 9, 5400 Bogense</v>
      </c>
      <c r="B1866">
        <v>5444296</v>
      </c>
    </row>
    <row r="1867" spans="1:2" x14ac:dyDescent="0.25">
      <c r="A1867" t="str">
        <v>Gl. Toldbodvej 11, 5400 Bogense</v>
      </c>
      <c r="B1867">
        <v>5444297</v>
      </c>
    </row>
    <row r="1868" spans="1:2" x14ac:dyDescent="0.25">
      <c r="A1868" t="str">
        <v>Tværgade 19, 5400 Bogense</v>
      </c>
      <c r="B1868">
        <v>5444298</v>
      </c>
    </row>
    <row r="1869" spans="1:2" x14ac:dyDescent="0.25">
      <c r="A1869" t="str">
        <v>Tværgade 17, 5400 Bogense</v>
      </c>
      <c r="B1869">
        <v>5444299</v>
      </c>
    </row>
    <row r="1870" spans="1:2" x14ac:dyDescent="0.25">
      <c r="A1870" t="str">
        <v>Tværgade 15, 5400 Bogense</v>
      </c>
      <c r="B1870">
        <v>5444300</v>
      </c>
    </row>
    <row r="1871" spans="1:2" x14ac:dyDescent="0.25">
      <c r="A1871" t="str">
        <v>Tværgade 13, 5400 Bogense</v>
      </c>
      <c r="B1871">
        <v>5444301</v>
      </c>
    </row>
    <row r="1872" spans="1:2" x14ac:dyDescent="0.25">
      <c r="A1872" t="str">
        <v>Tværgade 11, 5400 Bogense</v>
      </c>
      <c r="B1872">
        <v>5444302</v>
      </c>
    </row>
    <row r="1873" spans="1:2" x14ac:dyDescent="0.25">
      <c r="A1873" t="str">
        <v>Tværgade 9, 5400 Bogense</v>
      </c>
      <c r="B1873">
        <v>5444303</v>
      </c>
    </row>
    <row r="1874" spans="1:2" x14ac:dyDescent="0.25">
      <c r="A1874" t="str">
        <v>Tværgade 7, 5400 Bogense</v>
      </c>
      <c r="B1874">
        <v>5444304</v>
      </c>
    </row>
    <row r="1875" spans="1:2" x14ac:dyDescent="0.25">
      <c r="A1875" t="str">
        <v>Tværgade 5, 5400 Bogense</v>
      </c>
      <c r="B1875">
        <v>5444305</v>
      </c>
    </row>
    <row r="1876" spans="1:2" x14ac:dyDescent="0.25">
      <c r="A1876" t="str">
        <v>Tværgade 3, 5400 Bogense</v>
      </c>
      <c r="B1876">
        <v>5444306</v>
      </c>
    </row>
    <row r="1877" spans="1:2" x14ac:dyDescent="0.25">
      <c r="A1877" t="str">
        <v>Tværgade 1, 5400 Bogense</v>
      </c>
      <c r="B1877">
        <v>5444307</v>
      </c>
    </row>
    <row r="1878" spans="1:2" x14ac:dyDescent="0.25">
      <c r="A1878" t="str">
        <v>Gl. Toldbodvej 6, 5400 Bogense</v>
      </c>
      <c r="B1878">
        <v>5444310</v>
      </c>
    </row>
    <row r="1879" spans="1:2" x14ac:dyDescent="0.25">
      <c r="A1879" t="str">
        <v>Gl. Toldbodvej 10, 5400 Bogense</v>
      </c>
      <c r="B1879">
        <v>5444311</v>
      </c>
    </row>
    <row r="1880" spans="1:2" x14ac:dyDescent="0.25">
      <c r="A1880" t="str">
        <v>Gl. Toldbodvej 12, 5400 Bogense</v>
      </c>
      <c r="B1880">
        <v>5444312</v>
      </c>
    </row>
    <row r="1881" spans="1:2" x14ac:dyDescent="0.25">
      <c r="A1881" t="str">
        <v>Gl. Toldbodvej 14, 5400 Bogense</v>
      </c>
      <c r="B1881">
        <v>5444314</v>
      </c>
    </row>
    <row r="1882" spans="1:2" x14ac:dyDescent="0.25">
      <c r="A1882" t="str">
        <v>Tværgade 8, 5400 Bogense</v>
      </c>
      <c r="B1882">
        <v>5444315</v>
      </c>
    </row>
    <row r="1883" spans="1:2" x14ac:dyDescent="0.25">
      <c r="A1883" t="str">
        <v>Søndermarksvej 6, 1., 5400 Bogense</v>
      </c>
      <c r="B1883">
        <v>5444319</v>
      </c>
    </row>
    <row r="1884" spans="1:2" x14ac:dyDescent="0.25">
      <c r="A1884" t="str">
        <v>Søndermarksvej 6, st., 5400 Bogense</v>
      </c>
      <c r="B1884">
        <v>5444319</v>
      </c>
    </row>
    <row r="1885" spans="1:2" x14ac:dyDescent="0.25">
      <c r="A1885" t="str">
        <v>Gl. Toldbodvej 4, 5400 Bogense</v>
      </c>
      <c r="B1885">
        <v>5444331</v>
      </c>
    </row>
    <row r="1886" spans="1:2" x14ac:dyDescent="0.25">
      <c r="A1886" t="str">
        <v>Gl. Toldbodvej 3A, 5400 Bogense</v>
      </c>
      <c r="B1886">
        <v>5444333</v>
      </c>
    </row>
    <row r="1887" spans="1:2" x14ac:dyDescent="0.25">
      <c r="A1887" t="str">
        <v>Søndermarksvej 8, 5400 Bogense</v>
      </c>
      <c r="B1887">
        <v>5444335</v>
      </c>
    </row>
    <row r="1888" spans="1:2" x14ac:dyDescent="0.25">
      <c r="A1888" t="str">
        <v>Tværgade 2, 5400 Bogense</v>
      </c>
      <c r="B1888">
        <v>5444336</v>
      </c>
    </row>
    <row r="1889" spans="1:2" x14ac:dyDescent="0.25">
      <c r="A1889" t="str">
        <v>Odensevej 11, 5400 Bogense</v>
      </c>
      <c r="B1889">
        <v>5444337</v>
      </c>
    </row>
    <row r="1890" spans="1:2" x14ac:dyDescent="0.25">
      <c r="A1890" t="str">
        <v>Gl. Toldbodvej 15, 5400 Bogense</v>
      </c>
      <c r="B1890">
        <v>5444339</v>
      </c>
    </row>
    <row r="1891" spans="1:2" x14ac:dyDescent="0.25">
      <c r="A1891" t="str">
        <v>Gl. Toldbodvej 17, 5400 Bogense</v>
      </c>
      <c r="B1891">
        <v>5444343</v>
      </c>
    </row>
    <row r="1892" spans="1:2" x14ac:dyDescent="0.25">
      <c r="A1892" t="str">
        <v>Odensevej 9, 5400 Bogense</v>
      </c>
      <c r="B1892">
        <v>5444346</v>
      </c>
    </row>
    <row r="1893" spans="1:2" x14ac:dyDescent="0.25">
      <c r="A1893">
        <v>0</v>
      </c>
      <c r="B1893">
        <v>5444351</v>
      </c>
    </row>
    <row r="1894" spans="1:2" x14ac:dyDescent="0.25">
      <c r="A1894" t="str">
        <v>Skovvej 35, 5400 Bogense</v>
      </c>
      <c r="B1894">
        <v>5444356</v>
      </c>
    </row>
    <row r="1895" spans="1:2" x14ac:dyDescent="0.25">
      <c r="A1895" t="str">
        <v>Skovvej 21, 5400 Bogense</v>
      </c>
      <c r="B1895">
        <v>5444357</v>
      </c>
    </row>
    <row r="1896" spans="1:2" x14ac:dyDescent="0.25">
      <c r="A1896" t="str">
        <v>Skovvej 21A, 5400 Bogense</v>
      </c>
      <c r="B1896">
        <v>5444357</v>
      </c>
    </row>
    <row r="1897" spans="1:2" x14ac:dyDescent="0.25">
      <c r="A1897" t="str">
        <v>Skovvej 21B, 5400 Bogense</v>
      </c>
      <c r="B1897">
        <v>5444357</v>
      </c>
    </row>
    <row r="1898" spans="1:2" x14ac:dyDescent="0.25">
      <c r="A1898" t="str">
        <v>Skovvej 21C, 5400 Bogense</v>
      </c>
      <c r="B1898">
        <v>5444357</v>
      </c>
    </row>
    <row r="1899" spans="1:2" x14ac:dyDescent="0.25">
      <c r="A1899" t="str">
        <v>Skovvej 23A, 5400 Bogense</v>
      </c>
      <c r="B1899">
        <v>5444357</v>
      </c>
    </row>
    <row r="1900" spans="1:2" x14ac:dyDescent="0.25">
      <c r="A1900" t="str">
        <v>Skovvej 23B, 5400 Bogense</v>
      </c>
      <c r="B1900">
        <v>5444357</v>
      </c>
    </row>
    <row r="1901" spans="1:2" x14ac:dyDescent="0.25">
      <c r="A1901" t="str">
        <v>Skovvej 25A, 5400 Bogense</v>
      </c>
      <c r="B1901">
        <v>5444357</v>
      </c>
    </row>
    <row r="1902" spans="1:2" x14ac:dyDescent="0.25">
      <c r="A1902" t="str">
        <v>Skovvej 25B, 5400 Bogense</v>
      </c>
      <c r="B1902">
        <v>5444357</v>
      </c>
    </row>
    <row r="1903" spans="1:2" x14ac:dyDescent="0.25">
      <c r="A1903" t="str">
        <v>Skovvej 27A, 5400 Bogense</v>
      </c>
      <c r="B1903">
        <v>5444357</v>
      </c>
    </row>
    <row r="1904" spans="1:2" x14ac:dyDescent="0.25">
      <c r="A1904" t="str">
        <v>Skovvej 27B, 5400 Bogense</v>
      </c>
      <c r="B1904">
        <v>5444357</v>
      </c>
    </row>
    <row r="1905" spans="1:2" x14ac:dyDescent="0.25">
      <c r="A1905" t="str">
        <v>Skovvej 29A, 5400 Bogense</v>
      </c>
      <c r="B1905">
        <v>5444357</v>
      </c>
    </row>
    <row r="1906" spans="1:2" x14ac:dyDescent="0.25">
      <c r="A1906" t="str">
        <v>Skovvej 29B, 5400 Bogense</v>
      </c>
      <c r="B1906">
        <v>5444357</v>
      </c>
    </row>
    <row r="1907" spans="1:2" x14ac:dyDescent="0.25">
      <c r="A1907" t="str">
        <v>Skovvej 31A, 5400 Bogense</v>
      </c>
      <c r="B1907">
        <v>5444357</v>
      </c>
    </row>
    <row r="1908" spans="1:2" x14ac:dyDescent="0.25">
      <c r="A1908" t="str">
        <v>Skovvej 31B, 5400 Bogense</v>
      </c>
      <c r="B1908">
        <v>5444357</v>
      </c>
    </row>
    <row r="1909" spans="1:2" x14ac:dyDescent="0.25">
      <c r="A1909" t="str">
        <v>Skovvej 31C, 5400 Bogense</v>
      </c>
      <c r="B1909">
        <v>5444357</v>
      </c>
    </row>
    <row r="1910" spans="1:2" x14ac:dyDescent="0.25">
      <c r="A1910" t="str">
        <v>Skovvej 33A, 5400 Bogense</v>
      </c>
      <c r="B1910">
        <v>5444357</v>
      </c>
    </row>
    <row r="1911" spans="1:2" x14ac:dyDescent="0.25">
      <c r="A1911" t="str">
        <v>Skovvej 33B, 5400 Bogense</v>
      </c>
      <c r="B1911">
        <v>5444357</v>
      </c>
    </row>
    <row r="1912" spans="1:2" x14ac:dyDescent="0.25">
      <c r="A1912" t="str">
        <v>Bøgevej 2, 5400 Bogense</v>
      </c>
      <c r="B1912">
        <v>5444358</v>
      </c>
    </row>
    <row r="1913" spans="1:2" x14ac:dyDescent="0.25">
      <c r="A1913" t="str">
        <v>Bøgevej 4, 5400 Bogense</v>
      </c>
      <c r="B1913">
        <v>5444359</v>
      </c>
    </row>
    <row r="1914" spans="1:2" x14ac:dyDescent="0.25">
      <c r="A1914" t="str">
        <v>Bøgevej 6, 5400 Bogense</v>
      </c>
      <c r="B1914">
        <v>5444360</v>
      </c>
    </row>
    <row r="1915" spans="1:2" x14ac:dyDescent="0.25">
      <c r="A1915" t="str">
        <v>Bøgevej 8, 5400 Bogense</v>
      </c>
      <c r="B1915">
        <v>5444361</v>
      </c>
    </row>
    <row r="1916" spans="1:2" x14ac:dyDescent="0.25">
      <c r="A1916" t="str">
        <v>Bøgevej 10, 5400 Bogense</v>
      </c>
      <c r="B1916">
        <v>5444362</v>
      </c>
    </row>
    <row r="1917" spans="1:2" x14ac:dyDescent="0.25">
      <c r="A1917" t="str">
        <v>Bøgevej 12, 5400 Bogense</v>
      </c>
      <c r="B1917">
        <v>5444363</v>
      </c>
    </row>
    <row r="1918" spans="1:2" x14ac:dyDescent="0.25">
      <c r="A1918" t="str">
        <v>Bøgevej 18, 5400 Bogense</v>
      </c>
      <c r="B1918">
        <v>5444364</v>
      </c>
    </row>
    <row r="1919" spans="1:2" x14ac:dyDescent="0.25">
      <c r="A1919" t="str">
        <v>Skovmærkevej 15, 5400 Bogense</v>
      </c>
      <c r="B1919">
        <v>5444365</v>
      </c>
    </row>
    <row r="1920" spans="1:2" x14ac:dyDescent="0.25">
      <c r="A1920" t="str">
        <v>Skovmærkevej 13, 5400 Bogense</v>
      </c>
      <c r="B1920">
        <v>5444366</v>
      </c>
    </row>
    <row r="1921" spans="1:2" x14ac:dyDescent="0.25">
      <c r="A1921" t="str">
        <v>Skovmærkevej 11, 5400 Bogense</v>
      </c>
      <c r="B1921">
        <v>5444367</v>
      </c>
    </row>
    <row r="1922" spans="1:2" x14ac:dyDescent="0.25">
      <c r="A1922" t="str">
        <v>Skovmærkevej 9, 5400 Bogense</v>
      </c>
      <c r="B1922">
        <v>5444368</v>
      </c>
    </row>
    <row r="1923" spans="1:2" x14ac:dyDescent="0.25">
      <c r="A1923" t="str">
        <v>Skovmærkevej 7, 5400 Bogense</v>
      </c>
      <c r="B1923">
        <v>5444369</v>
      </c>
    </row>
    <row r="1924" spans="1:2" x14ac:dyDescent="0.25">
      <c r="A1924" t="str">
        <v>Skovmærkevej 5, 5400 Bogense</v>
      </c>
      <c r="B1924">
        <v>5444370</v>
      </c>
    </row>
    <row r="1925" spans="1:2" x14ac:dyDescent="0.25">
      <c r="A1925" t="str">
        <v>Skovmærkevej 3, 5400 Bogense</v>
      </c>
      <c r="B1925">
        <v>5444371</v>
      </c>
    </row>
    <row r="1926" spans="1:2" x14ac:dyDescent="0.25">
      <c r="A1926" t="str">
        <v>Skovmærkevej 1, 5400 Bogense</v>
      </c>
      <c r="B1926">
        <v>5444372</v>
      </c>
    </row>
    <row r="1927" spans="1:2" x14ac:dyDescent="0.25">
      <c r="A1927" t="str">
        <v>Anemonevej 9, 5400 Bogense</v>
      </c>
      <c r="B1927">
        <v>5444376</v>
      </c>
    </row>
    <row r="1928" spans="1:2" x14ac:dyDescent="0.25">
      <c r="A1928" t="str">
        <v>Bøgevej 14, 5400 Bogense</v>
      </c>
      <c r="B1928">
        <v>5444377</v>
      </c>
    </row>
    <row r="1929" spans="1:2" x14ac:dyDescent="0.25">
      <c r="A1929" t="str">
        <v>Bøgevej 16, 5400 Bogense</v>
      </c>
      <c r="B1929">
        <v>5444378</v>
      </c>
    </row>
    <row r="1930" spans="1:2" x14ac:dyDescent="0.25">
      <c r="A1930" t="str">
        <v>Anemonevej 7, 5400 Bogense</v>
      </c>
      <c r="B1930">
        <v>5444379</v>
      </c>
    </row>
    <row r="1931" spans="1:2" x14ac:dyDescent="0.25">
      <c r="A1931" t="str">
        <v>Anemonevej 5, 5400 Bogense</v>
      </c>
      <c r="B1931">
        <v>5444380</v>
      </c>
    </row>
    <row r="1932" spans="1:2" x14ac:dyDescent="0.25">
      <c r="A1932" t="str">
        <v>Anemonevej 3, 5400 Bogense</v>
      </c>
      <c r="B1932">
        <v>5444381</v>
      </c>
    </row>
    <row r="1933" spans="1:2" x14ac:dyDescent="0.25">
      <c r="A1933" t="str">
        <v>Anemonevej 1, 5400 Bogense</v>
      </c>
      <c r="B1933">
        <v>5444382</v>
      </c>
    </row>
    <row r="1934" spans="1:2" x14ac:dyDescent="0.25">
      <c r="A1934" t="str">
        <v>Egevej 1, 5400 Bogense</v>
      </c>
      <c r="B1934">
        <v>5444383</v>
      </c>
    </row>
    <row r="1935" spans="1:2" x14ac:dyDescent="0.25">
      <c r="A1935" t="str">
        <v>Egevej 13, 5400 Bogense</v>
      </c>
      <c r="B1935">
        <v>5444384</v>
      </c>
    </row>
    <row r="1936" spans="1:2" x14ac:dyDescent="0.25">
      <c r="A1936" t="str">
        <v>Egevej 2, 5400 Bogense</v>
      </c>
      <c r="B1936">
        <v>5444388</v>
      </c>
    </row>
    <row r="1937" spans="1:2" x14ac:dyDescent="0.25">
      <c r="A1937" t="str">
        <v>Egevej 2, 5400 Bogense</v>
      </c>
      <c r="B1937">
        <v>5444388</v>
      </c>
    </row>
    <row r="1938" spans="1:2" x14ac:dyDescent="0.25">
      <c r="A1938" t="str">
        <v>Egevej 2, 5400 Bogense</v>
      </c>
      <c r="B1938">
        <v>5444388</v>
      </c>
    </row>
    <row r="1939" spans="1:2" x14ac:dyDescent="0.25">
      <c r="A1939" t="str">
        <v>Egevej 2, 5400 Bogense</v>
      </c>
      <c r="B1939">
        <v>5444388</v>
      </c>
    </row>
    <row r="1940" spans="1:2" x14ac:dyDescent="0.25">
      <c r="A1940" t="str">
        <v>Egevej 4, 5400 Bogense</v>
      </c>
      <c r="B1940">
        <v>5444389</v>
      </c>
    </row>
    <row r="1941" spans="1:2" x14ac:dyDescent="0.25">
      <c r="A1941" t="str">
        <v>Egevej 6, 5400 Bogense</v>
      </c>
      <c r="B1941">
        <v>5444390</v>
      </c>
    </row>
    <row r="1942" spans="1:2" x14ac:dyDescent="0.25">
      <c r="A1942" t="str">
        <v>Elmevej 2, 5400 Bogense</v>
      </c>
      <c r="B1942">
        <v>5444391</v>
      </c>
    </row>
    <row r="1943" spans="1:2" x14ac:dyDescent="0.25">
      <c r="A1943" t="str">
        <v>Elmevej 4, 5400 Bogense</v>
      </c>
      <c r="B1943">
        <v>5444392</v>
      </c>
    </row>
    <row r="1944" spans="1:2" x14ac:dyDescent="0.25">
      <c r="A1944" t="str">
        <v>Elmevej 6, 5400 Bogense</v>
      </c>
      <c r="B1944">
        <v>5444393</v>
      </c>
    </row>
    <row r="1945" spans="1:2" x14ac:dyDescent="0.25">
      <c r="A1945" t="str">
        <v>Elmevej 1, 5400 Bogense</v>
      </c>
      <c r="B1945">
        <v>5444394</v>
      </c>
    </row>
    <row r="1946" spans="1:2" x14ac:dyDescent="0.25">
      <c r="A1946" t="str">
        <v>Birkevej 2, 5400 Bogense</v>
      </c>
      <c r="B1946">
        <v>5444395</v>
      </c>
    </row>
    <row r="1947" spans="1:2" x14ac:dyDescent="0.25">
      <c r="A1947" t="str">
        <v>Elmevej 3, 5400 Bogense</v>
      </c>
      <c r="B1947">
        <v>5444396</v>
      </c>
    </row>
    <row r="1948" spans="1:2" x14ac:dyDescent="0.25">
      <c r="A1948" t="str">
        <v>Birkevej 4, 5400 Bogense</v>
      </c>
      <c r="B1948">
        <v>5444397</v>
      </c>
    </row>
    <row r="1949" spans="1:2" x14ac:dyDescent="0.25">
      <c r="A1949" t="str">
        <v>Birkevej 1, 5400 Bogense</v>
      </c>
      <c r="B1949">
        <v>5444398</v>
      </c>
    </row>
    <row r="1950" spans="1:2" x14ac:dyDescent="0.25">
      <c r="A1950" t="str">
        <v>Birkevej 3, 5400 Bogense</v>
      </c>
      <c r="B1950">
        <v>5444399</v>
      </c>
    </row>
    <row r="1951" spans="1:2" x14ac:dyDescent="0.25">
      <c r="A1951" t="str">
        <v>Birkevej 5, 5400 Bogense</v>
      </c>
      <c r="B1951">
        <v>5444400</v>
      </c>
    </row>
    <row r="1952" spans="1:2" x14ac:dyDescent="0.25">
      <c r="A1952" t="str">
        <v>Birkevej 7, 5400 Bogense</v>
      </c>
      <c r="B1952">
        <v>5444401</v>
      </c>
    </row>
    <row r="1953" spans="1:2" x14ac:dyDescent="0.25">
      <c r="A1953" t="str">
        <v>Birkevej 9, 5400 Bogense</v>
      </c>
      <c r="B1953">
        <v>5444402</v>
      </c>
    </row>
    <row r="1954" spans="1:2" x14ac:dyDescent="0.25">
      <c r="A1954" t="str">
        <v>Ahornvej 2, 5400 Bogense</v>
      </c>
      <c r="B1954">
        <v>5444403</v>
      </c>
    </row>
    <row r="1955" spans="1:2" x14ac:dyDescent="0.25">
      <c r="A1955" t="str">
        <v>Ahornvej 4, 5400 Bogense</v>
      </c>
      <c r="B1955">
        <v>5444404</v>
      </c>
    </row>
    <row r="1956" spans="1:2" x14ac:dyDescent="0.25">
      <c r="A1956" t="str">
        <v>Ahornvej 6, 5400 Bogense</v>
      </c>
      <c r="B1956">
        <v>5444405</v>
      </c>
    </row>
    <row r="1957" spans="1:2" x14ac:dyDescent="0.25">
      <c r="A1957" t="str">
        <v>Ahornvej 8, 5400 Bogense</v>
      </c>
      <c r="B1957">
        <v>5444406</v>
      </c>
    </row>
    <row r="1958" spans="1:2" x14ac:dyDescent="0.25">
      <c r="A1958" t="str">
        <v>Ahornvej 10, 5400 Bogense</v>
      </c>
      <c r="B1958">
        <v>5444407</v>
      </c>
    </row>
    <row r="1959" spans="1:2" x14ac:dyDescent="0.25">
      <c r="A1959" t="str">
        <v>Ahornvej 12, 5400 Bogense</v>
      </c>
      <c r="B1959">
        <v>5444408</v>
      </c>
    </row>
    <row r="1960" spans="1:2" x14ac:dyDescent="0.25">
      <c r="A1960" t="str">
        <v>Ahornvej 1, 5400 Bogense</v>
      </c>
      <c r="B1960">
        <v>5444409</v>
      </c>
    </row>
    <row r="1961" spans="1:2" x14ac:dyDescent="0.25">
      <c r="A1961" t="str">
        <v>Ahornvej 3, 5400 Bogense</v>
      </c>
      <c r="B1961">
        <v>5444411</v>
      </c>
    </row>
    <row r="1962" spans="1:2" x14ac:dyDescent="0.25">
      <c r="A1962" t="str">
        <v>Ahornvej 5, 5400 Bogense</v>
      </c>
      <c r="B1962">
        <v>5444412</v>
      </c>
    </row>
    <row r="1963" spans="1:2" x14ac:dyDescent="0.25">
      <c r="A1963" t="str">
        <v>Ahornvej 7, 5400 Bogense</v>
      </c>
      <c r="B1963">
        <v>5444413</v>
      </c>
    </row>
    <row r="1964" spans="1:2" x14ac:dyDescent="0.25">
      <c r="A1964" t="str">
        <v>Ahornvej 9, 5400 Bogense</v>
      </c>
      <c r="B1964">
        <v>5444414</v>
      </c>
    </row>
    <row r="1965" spans="1:2" x14ac:dyDescent="0.25">
      <c r="A1965" t="str">
        <v>Ahornvej 11, 5400 Bogense</v>
      </c>
      <c r="B1965">
        <v>5444415</v>
      </c>
    </row>
    <row r="1966" spans="1:2" x14ac:dyDescent="0.25">
      <c r="A1966" t="str">
        <v>Eranthisvej 1, 5400 Bogense</v>
      </c>
      <c r="B1966">
        <v>5444417</v>
      </c>
    </row>
    <row r="1967" spans="1:2" x14ac:dyDescent="0.25">
      <c r="A1967" t="str">
        <v>Eranthisvej 3, 5400 Bogense</v>
      </c>
      <c r="B1967">
        <v>5444418</v>
      </c>
    </row>
    <row r="1968" spans="1:2" x14ac:dyDescent="0.25">
      <c r="A1968" t="str">
        <v>Eranthisvej 5, 5400 Bogense</v>
      </c>
      <c r="B1968">
        <v>5444419</v>
      </c>
    </row>
    <row r="1969" spans="1:2" x14ac:dyDescent="0.25">
      <c r="A1969" t="str">
        <v>Eranthisvej 7, 5400 Bogense</v>
      </c>
      <c r="B1969">
        <v>5444420</v>
      </c>
    </row>
    <row r="1970" spans="1:2" x14ac:dyDescent="0.25">
      <c r="A1970" t="str">
        <v>Eranthisvej 9, 5400 Bogense</v>
      </c>
      <c r="B1970">
        <v>5444421</v>
      </c>
    </row>
    <row r="1971" spans="1:2" x14ac:dyDescent="0.25">
      <c r="A1971" t="str">
        <v>Eranthisvej 11, 5400 Bogense</v>
      </c>
      <c r="B1971">
        <v>5444422</v>
      </c>
    </row>
    <row r="1972" spans="1:2" x14ac:dyDescent="0.25">
      <c r="A1972" t="str">
        <v>Eranthisvej 13, 5400 Bogense</v>
      </c>
      <c r="B1972">
        <v>5444423</v>
      </c>
    </row>
    <row r="1973" spans="1:2" x14ac:dyDescent="0.25">
      <c r="A1973" t="str">
        <v>Eranthisvej 15, 5400 Bogense</v>
      </c>
      <c r="B1973">
        <v>5444424</v>
      </c>
    </row>
    <row r="1974" spans="1:2" x14ac:dyDescent="0.25">
      <c r="A1974" t="str">
        <v>Egevej 11, 5400 Bogense</v>
      </c>
      <c r="B1974">
        <v>5444433</v>
      </c>
    </row>
    <row r="1975" spans="1:2" x14ac:dyDescent="0.25">
      <c r="A1975" t="str">
        <v>Egevej 9, 5400 Bogense</v>
      </c>
      <c r="B1975">
        <v>5444434</v>
      </c>
    </row>
    <row r="1976" spans="1:2" x14ac:dyDescent="0.25">
      <c r="A1976" t="str">
        <v>Egevej 7, 5400 Bogense</v>
      </c>
      <c r="B1976">
        <v>5444435</v>
      </c>
    </row>
    <row r="1977" spans="1:2" x14ac:dyDescent="0.25">
      <c r="A1977" t="str">
        <v>Egevej 5, 5400 Bogense</v>
      </c>
      <c r="B1977">
        <v>5444436</v>
      </c>
    </row>
    <row r="1978" spans="1:2" x14ac:dyDescent="0.25">
      <c r="A1978" t="str">
        <v>Egevej 3, 5400 Bogense</v>
      </c>
      <c r="B1978">
        <v>5444437</v>
      </c>
    </row>
    <row r="1979" spans="1:2" x14ac:dyDescent="0.25">
      <c r="A1979">
        <v>0</v>
      </c>
      <c r="B1979">
        <v>5444438</v>
      </c>
    </row>
    <row r="1980" spans="1:2" x14ac:dyDescent="0.25">
      <c r="A1980" t="str">
        <v>Huggetvej 27, Bogense Mark, 5400 Bogense</v>
      </c>
      <c r="B1980">
        <v>5444445</v>
      </c>
    </row>
    <row r="1981" spans="1:2" x14ac:dyDescent="0.25">
      <c r="A1981" t="str">
        <v>Almindevej 1, 5400 Bogense</v>
      </c>
      <c r="B1981">
        <v>5444448</v>
      </c>
    </row>
    <row r="1982" spans="1:2" x14ac:dyDescent="0.25">
      <c r="A1982" t="str">
        <v>Huggetvej 15, 5400 Bogense</v>
      </c>
      <c r="B1982">
        <v>5444456</v>
      </c>
    </row>
    <row r="1983" spans="1:2" x14ac:dyDescent="0.25">
      <c r="A1983" t="str">
        <v>Jyllandsvej 7, 5400 Bogense</v>
      </c>
      <c r="B1983">
        <v>5444457</v>
      </c>
    </row>
    <row r="1984" spans="1:2" x14ac:dyDescent="0.25">
      <c r="A1984" t="str">
        <v>Jyllandsvej 7, 5400 Bogense</v>
      </c>
      <c r="B1984">
        <v>5444457</v>
      </c>
    </row>
    <row r="1985" spans="1:2" x14ac:dyDescent="0.25">
      <c r="A1985" t="str">
        <v>Jyllandsvej 7, 5400 Bogense</v>
      </c>
      <c r="B1985">
        <v>5444457</v>
      </c>
    </row>
    <row r="1986" spans="1:2" x14ac:dyDescent="0.25">
      <c r="A1986" t="str">
        <v>Tromsøparken 18A, Bogense, 5400 Bogense</v>
      </c>
      <c r="B1986">
        <v>5444459</v>
      </c>
    </row>
    <row r="1987" spans="1:2" x14ac:dyDescent="0.25">
      <c r="A1987">
        <v>0</v>
      </c>
      <c r="B1987">
        <v>5444463</v>
      </c>
    </row>
    <row r="1988" spans="1:2" x14ac:dyDescent="0.25">
      <c r="A1988" t="str">
        <v>Odensevej 25, 5400 Bogense</v>
      </c>
      <c r="B1988">
        <v>5444466</v>
      </c>
    </row>
    <row r="1989" spans="1:2" x14ac:dyDescent="0.25">
      <c r="A1989" t="str">
        <v>Odensevej 37, 5400 Bogense</v>
      </c>
      <c r="B1989">
        <v>5444467</v>
      </c>
    </row>
    <row r="1990" spans="1:2" x14ac:dyDescent="0.25">
      <c r="A1990" t="str">
        <v>Odensevej 35, 5400 Bogense</v>
      </c>
      <c r="B1990">
        <v>5444468</v>
      </c>
    </row>
    <row r="1991" spans="1:2" x14ac:dyDescent="0.25">
      <c r="A1991" t="str">
        <v>Odensevej 33, 5400 Bogense</v>
      </c>
      <c r="B1991">
        <v>5444471</v>
      </c>
    </row>
    <row r="1992" spans="1:2" x14ac:dyDescent="0.25">
      <c r="A1992" t="str">
        <v>Odensevej 29, 5400 Bogense</v>
      </c>
      <c r="B1992">
        <v>5444472</v>
      </c>
    </row>
    <row r="1993" spans="1:2" x14ac:dyDescent="0.25">
      <c r="A1993" t="str">
        <v>Odensevej 27, 5400 Bogense</v>
      </c>
      <c r="B1993">
        <v>5444473</v>
      </c>
    </row>
    <row r="1994" spans="1:2" x14ac:dyDescent="0.25">
      <c r="A1994" t="str">
        <v>Odensevej 27, 1., 5400 Bogense</v>
      </c>
      <c r="B1994">
        <v>5444473</v>
      </c>
    </row>
    <row r="1995" spans="1:2" x14ac:dyDescent="0.25">
      <c r="A1995" t="str">
        <v>Odensevej 27, st., 5400 Bogense</v>
      </c>
      <c r="B1995">
        <v>5444473</v>
      </c>
    </row>
    <row r="1996" spans="1:2" x14ac:dyDescent="0.25">
      <c r="A1996" t="str">
        <v>Odensevej 31, 5400 Bogense</v>
      </c>
      <c r="B1996">
        <v>5444478</v>
      </c>
    </row>
    <row r="1997" spans="1:2" x14ac:dyDescent="0.25">
      <c r="A1997" t="str">
        <v>Violvej 5, 5400 Bogense</v>
      </c>
      <c r="B1997">
        <v>5444482</v>
      </c>
    </row>
    <row r="1998" spans="1:2" x14ac:dyDescent="0.25">
      <c r="A1998" t="str">
        <v>Violvej 11, 5400 Bogense</v>
      </c>
      <c r="B1998">
        <v>5444482</v>
      </c>
    </row>
    <row r="1999" spans="1:2" x14ac:dyDescent="0.25">
      <c r="A1999" t="str">
        <v>Violvej 18, 5400 Bogense</v>
      </c>
      <c r="B1999">
        <v>5444482</v>
      </c>
    </row>
    <row r="2000" spans="1:2" x14ac:dyDescent="0.25">
      <c r="A2000" t="str">
        <v>Violvej 20, 5400 Bogense</v>
      </c>
      <c r="B2000">
        <v>5444482</v>
      </c>
    </row>
    <row r="2001" spans="1:2" x14ac:dyDescent="0.25">
      <c r="A2001" t="str">
        <v>Violvej 22, 5400 Bogense</v>
      </c>
      <c r="B2001">
        <v>5444482</v>
      </c>
    </row>
    <row r="2002" spans="1:2" x14ac:dyDescent="0.25">
      <c r="A2002" t="str">
        <v>Violvej 24, 5400 Bogense</v>
      </c>
      <c r="B2002">
        <v>5444482</v>
      </c>
    </row>
    <row r="2003" spans="1:2" x14ac:dyDescent="0.25">
      <c r="A2003" t="str">
        <v>Violvej 5, 5400 Bogense</v>
      </c>
      <c r="B2003">
        <v>5444482</v>
      </c>
    </row>
    <row r="2004" spans="1:2" x14ac:dyDescent="0.25">
      <c r="A2004" t="str">
        <v>Violvej 7, 5400 Bogense</v>
      </c>
      <c r="B2004">
        <v>5444482</v>
      </c>
    </row>
    <row r="2005" spans="1:2" x14ac:dyDescent="0.25">
      <c r="A2005" t="str">
        <v>Violvej 9, 5400 Bogense</v>
      </c>
      <c r="B2005">
        <v>5444482</v>
      </c>
    </row>
    <row r="2006" spans="1:2" x14ac:dyDescent="0.25">
      <c r="A2006" t="str">
        <v>Huggetvej 78, Kræmmerkrog, 5400 Bogense</v>
      </c>
      <c r="B2006">
        <v>5444486</v>
      </c>
    </row>
    <row r="2007" spans="1:2" x14ac:dyDescent="0.25">
      <c r="A2007" t="str">
        <v>Huggetvej 78, Kræmmerkrog, 5400 Bogense</v>
      </c>
      <c r="B2007">
        <v>5444486</v>
      </c>
    </row>
    <row r="2008" spans="1:2" x14ac:dyDescent="0.25">
      <c r="A2008" t="str">
        <v>Huggetvej 78, Kræmmerkrog, 5400 Bogense</v>
      </c>
      <c r="B2008">
        <v>5444486</v>
      </c>
    </row>
    <row r="2009" spans="1:2" x14ac:dyDescent="0.25">
      <c r="A2009" t="str">
        <v>Odensevej 74, 5400 Bogense</v>
      </c>
      <c r="B2009">
        <v>5444491</v>
      </c>
    </row>
    <row r="2010" spans="1:2" x14ac:dyDescent="0.25">
      <c r="A2010" t="str">
        <v>Odensevej 68, 5400 Bogense</v>
      </c>
      <c r="B2010">
        <v>5444492</v>
      </c>
    </row>
    <row r="2011" spans="1:2" x14ac:dyDescent="0.25">
      <c r="A2011" t="str">
        <v>Odensevej 72, 5400 Bogense</v>
      </c>
      <c r="B2011">
        <v>5444493</v>
      </c>
    </row>
    <row r="2012" spans="1:2" x14ac:dyDescent="0.25">
      <c r="A2012" t="str">
        <v>Odensevej 66, 5400 Bogense</v>
      </c>
      <c r="B2012">
        <v>5444494</v>
      </c>
    </row>
    <row r="2013" spans="1:2" x14ac:dyDescent="0.25">
      <c r="A2013" t="str">
        <v>Odensevej 70, 5400 Bogense</v>
      </c>
      <c r="B2013">
        <v>5444495</v>
      </c>
    </row>
    <row r="2014" spans="1:2" x14ac:dyDescent="0.25">
      <c r="A2014" t="str">
        <v>Odensevej 92, 5400 Bogense</v>
      </c>
      <c r="B2014">
        <v>5444501</v>
      </c>
    </row>
    <row r="2015" spans="1:2" x14ac:dyDescent="0.25">
      <c r="A2015" t="str">
        <v>Odensevej 88, 5400 Bogense</v>
      </c>
      <c r="B2015">
        <v>5444502</v>
      </c>
    </row>
    <row r="2016" spans="1:2" x14ac:dyDescent="0.25">
      <c r="A2016" t="str">
        <v>Odensevej 90, 5400 Bogense</v>
      </c>
      <c r="B2016">
        <v>5444503</v>
      </c>
    </row>
    <row r="2017" spans="1:2" x14ac:dyDescent="0.25">
      <c r="A2017">
        <v>0</v>
      </c>
      <c r="B2017">
        <v>5444508</v>
      </c>
    </row>
    <row r="2018" spans="1:2" x14ac:dyDescent="0.25">
      <c r="A2018" t="str">
        <v>Storkenhøjvej 89, Fogense, 5400 Bogense</v>
      </c>
      <c r="B2018">
        <v>5444511</v>
      </c>
    </row>
    <row r="2019" spans="1:2" x14ac:dyDescent="0.25">
      <c r="A2019" t="str">
        <v>Storkenhøjvej 71, Fogense, 5400 Bogense</v>
      </c>
      <c r="B2019">
        <v>5444513</v>
      </c>
    </row>
    <row r="2020" spans="1:2" x14ac:dyDescent="0.25">
      <c r="A2020" t="str">
        <v>Storkenhøjvej 75, Fogense, 5400 Bogense</v>
      </c>
      <c r="B2020">
        <v>5444514</v>
      </c>
    </row>
    <row r="2021" spans="1:2" x14ac:dyDescent="0.25">
      <c r="A2021" t="str">
        <v>Storkenhøjvej 77, Fogense, 5400 Bogense</v>
      </c>
      <c r="B2021">
        <v>5444515</v>
      </c>
    </row>
    <row r="2022" spans="1:2" x14ac:dyDescent="0.25">
      <c r="A2022">
        <v>0</v>
      </c>
      <c r="B2022">
        <v>5444521</v>
      </c>
    </row>
    <row r="2023" spans="1:2" x14ac:dyDescent="0.25">
      <c r="A2023" t="str">
        <v>Huggetvej 48, Gungerne, 5400 Bogense</v>
      </c>
      <c r="B2023">
        <v>5444522</v>
      </c>
    </row>
    <row r="2024" spans="1:2" x14ac:dyDescent="0.25">
      <c r="A2024" t="str">
        <v>Huggetvej 33, Bogense Mark, 5400 Bogense</v>
      </c>
      <c r="B2024">
        <v>5444531</v>
      </c>
    </row>
    <row r="2025" spans="1:2" x14ac:dyDescent="0.25">
      <c r="A2025" t="str">
        <v>Violvej 16, 5400 Bogense</v>
      </c>
      <c r="B2025">
        <v>5444536</v>
      </c>
    </row>
    <row r="2026" spans="1:2" x14ac:dyDescent="0.25">
      <c r="A2026" t="str">
        <v>Violvej 14, 5400 Bogense</v>
      </c>
      <c r="B2026">
        <v>5444537</v>
      </c>
    </row>
    <row r="2027" spans="1:2" x14ac:dyDescent="0.25">
      <c r="A2027" t="str">
        <v>Violvej 12, 5400 Bogense</v>
      </c>
      <c r="B2027">
        <v>5444538</v>
      </c>
    </row>
    <row r="2028" spans="1:2" x14ac:dyDescent="0.25">
      <c r="A2028" t="str">
        <v>Violvej 10, 5400 Bogense</v>
      </c>
      <c r="B2028">
        <v>5444539</v>
      </c>
    </row>
    <row r="2029" spans="1:2" x14ac:dyDescent="0.25">
      <c r="A2029" t="str">
        <v>Violvej 8, 5400 Bogense</v>
      </c>
      <c r="B2029">
        <v>5444541</v>
      </c>
    </row>
    <row r="2030" spans="1:2" x14ac:dyDescent="0.25">
      <c r="A2030" t="str">
        <v>Violvej 6, 5400 Bogense</v>
      </c>
      <c r="B2030">
        <v>5444542</v>
      </c>
    </row>
    <row r="2031" spans="1:2" x14ac:dyDescent="0.25">
      <c r="A2031" t="str">
        <v>Violvej 4, 5400 Bogense</v>
      </c>
      <c r="B2031">
        <v>5444543</v>
      </c>
    </row>
    <row r="2032" spans="1:2" x14ac:dyDescent="0.25">
      <c r="A2032" t="str">
        <v>Violvej 2, 5400 Bogense</v>
      </c>
      <c r="B2032">
        <v>5444544</v>
      </c>
    </row>
    <row r="2033" spans="1:2" x14ac:dyDescent="0.25">
      <c r="A2033" t="str">
        <v>Bellisvej 2, 5400 Bogense</v>
      </c>
      <c r="B2033">
        <v>5444545</v>
      </c>
    </row>
    <row r="2034" spans="1:2" x14ac:dyDescent="0.25">
      <c r="A2034" t="str">
        <v>Bellisvej 4, 5400 Bogense</v>
      </c>
      <c r="B2034">
        <v>5444546</v>
      </c>
    </row>
    <row r="2035" spans="1:2" x14ac:dyDescent="0.25">
      <c r="A2035" t="str">
        <v>Bellisvej 6, 5400 Bogense</v>
      </c>
      <c r="B2035">
        <v>5444547</v>
      </c>
    </row>
    <row r="2036" spans="1:2" x14ac:dyDescent="0.25">
      <c r="A2036" t="str">
        <v>Bellisvej 8, 5400 Bogense</v>
      </c>
      <c r="B2036">
        <v>5444548</v>
      </c>
    </row>
    <row r="2037" spans="1:2" x14ac:dyDescent="0.25">
      <c r="A2037" t="str">
        <v>Bellisvej 10, 5400 Bogense</v>
      </c>
      <c r="B2037">
        <v>5444549</v>
      </c>
    </row>
    <row r="2038" spans="1:2" x14ac:dyDescent="0.25">
      <c r="A2038" t="str">
        <v>Bellisvej 12, 5400 Bogense</v>
      </c>
      <c r="B2038">
        <v>5444550</v>
      </c>
    </row>
    <row r="2039" spans="1:2" x14ac:dyDescent="0.25">
      <c r="A2039" t="str">
        <v>Bellisvej 14, 5400 Bogense</v>
      </c>
      <c r="B2039">
        <v>5444551</v>
      </c>
    </row>
    <row r="2040" spans="1:2" x14ac:dyDescent="0.25">
      <c r="A2040" t="str">
        <v>Bellisvej 16, 5400 Bogense</v>
      </c>
      <c r="B2040">
        <v>5444552</v>
      </c>
    </row>
    <row r="2041" spans="1:2" x14ac:dyDescent="0.25">
      <c r="A2041" t="str">
        <v>Bellisvej 18, 5400 Bogense</v>
      </c>
      <c r="B2041">
        <v>5444553</v>
      </c>
    </row>
    <row r="2042" spans="1:2" x14ac:dyDescent="0.25">
      <c r="A2042">
        <v>0</v>
      </c>
      <c r="B2042">
        <v>5444554</v>
      </c>
    </row>
    <row r="2043" spans="1:2" x14ac:dyDescent="0.25">
      <c r="A2043">
        <v>0</v>
      </c>
      <c r="B2043">
        <v>5444561</v>
      </c>
    </row>
    <row r="2044" spans="1:2" x14ac:dyDescent="0.25">
      <c r="A2044">
        <v>0</v>
      </c>
      <c r="B2044">
        <v>5444565</v>
      </c>
    </row>
    <row r="2045" spans="1:2" x14ac:dyDescent="0.25">
      <c r="A2045" t="str">
        <v>Østre Engvej 2, 5400 Bogense</v>
      </c>
      <c r="B2045">
        <v>5444567</v>
      </c>
    </row>
    <row r="2046" spans="1:2" x14ac:dyDescent="0.25">
      <c r="A2046" t="str">
        <v>Østre Engvej 10, 5400 Bogense</v>
      </c>
      <c r="B2046">
        <v>5444567</v>
      </c>
    </row>
    <row r="2047" spans="1:2" x14ac:dyDescent="0.25">
      <c r="A2047" t="str">
        <v>Østre Engvej 12, 5400 Bogense</v>
      </c>
      <c r="B2047">
        <v>5444567</v>
      </c>
    </row>
    <row r="2048" spans="1:2" x14ac:dyDescent="0.25">
      <c r="A2048" t="str">
        <v>Østre Engvej 14, 5400 Bogense</v>
      </c>
      <c r="B2048">
        <v>5444567</v>
      </c>
    </row>
    <row r="2049" spans="1:2" x14ac:dyDescent="0.25">
      <c r="A2049" t="str">
        <v>Østre Engvej 2, 5400 Bogense</v>
      </c>
      <c r="B2049">
        <v>5444567</v>
      </c>
    </row>
    <row r="2050" spans="1:2" x14ac:dyDescent="0.25">
      <c r="A2050" t="str">
        <v>Østre Engvej 4, 5400 Bogense</v>
      </c>
      <c r="B2050">
        <v>5444567</v>
      </c>
    </row>
    <row r="2051" spans="1:2" x14ac:dyDescent="0.25">
      <c r="A2051" t="str">
        <v>Østre Engvej 6, 5400 Bogense</v>
      </c>
      <c r="B2051">
        <v>5444567</v>
      </c>
    </row>
    <row r="2052" spans="1:2" x14ac:dyDescent="0.25">
      <c r="A2052" t="str">
        <v>Østre Engvej 8, 5400 Bogense</v>
      </c>
      <c r="B2052">
        <v>5444567</v>
      </c>
    </row>
    <row r="2053" spans="1:2" x14ac:dyDescent="0.25">
      <c r="A2053" t="str">
        <v>Gyldensteensvej 12, 5400 Bogense</v>
      </c>
      <c r="B2053">
        <v>5444568</v>
      </c>
    </row>
    <row r="2054" spans="1:2" x14ac:dyDescent="0.25">
      <c r="A2054" t="str">
        <v>Gyldensteensvej 10A, 1., 5400 Bogense</v>
      </c>
      <c r="B2054">
        <v>5444569</v>
      </c>
    </row>
    <row r="2055" spans="1:2" x14ac:dyDescent="0.25">
      <c r="A2055" t="str">
        <v>Gyldensteensvej 10A, 2., 5400 Bogense</v>
      </c>
      <c r="B2055">
        <v>5444569</v>
      </c>
    </row>
    <row r="2056" spans="1:2" x14ac:dyDescent="0.25">
      <c r="A2056" t="str">
        <v>Gyldensteensvej 10B, 5400 Bogense</v>
      </c>
      <c r="B2056">
        <v>5444569</v>
      </c>
    </row>
    <row r="2057" spans="1:2" x14ac:dyDescent="0.25">
      <c r="A2057" t="str">
        <v>Gyldensteensvej 14, 5400 Bogense</v>
      </c>
      <c r="B2057">
        <v>5444570</v>
      </c>
    </row>
    <row r="2058" spans="1:2" x14ac:dyDescent="0.25">
      <c r="A2058" t="str">
        <v>Havebuerne 1, 5400 Bogense</v>
      </c>
      <c r="B2058">
        <v>5444575</v>
      </c>
    </row>
    <row r="2059" spans="1:2" x14ac:dyDescent="0.25">
      <c r="A2059" t="str">
        <v>Gyldensteensvej 16, 5400 Bogense</v>
      </c>
      <c r="B2059">
        <v>5444576</v>
      </c>
    </row>
    <row r="2060" spans="1:2" x14ac:dyDescent="0.25">
      <c r="A2060" t="str">
        <v>Gyldensteensvej 34, 5400 Bogense</v>
      </c>
      <c r="B2060">
        <v>5444578</v>
      </c>
    </row>
    <row r="2061" spans="1:2" x14ac:dyDescent="0.25">
      <c r="A2061" t="str">
        <v>Gyldensteensvej 18, 5400 Bogense</v>
      </c>
      <c r="B2061">
        <v>5444579</v>
      </c>
    </row>
    <row r="2062" spans="1:2" x14ac:dyDescent="0.25">
      <c r="A2062">
        <v>0</v>
      </c>
      <c r="B2062">
        <v>5444580</v>
      </c>
    </row>
    <row r="2063" spans="1:2" x14ac:dyDescent="0.25">
      <c r="A2063" t="str">
        <v>Gyldensteensvej 26, 5400 Bogense</v>
      </c>
      <c r="B2063">
        <v>5444581</v>
      </c>
    </row>
    <row r="2064" spans="1:2" x14ac:dyDescent="0.25">
      <c r="A2064" t="str">
        <v>Gyldensteensvej 36, 5400 Bogense</v>
      </c>
      <c r="B2064">
        <v>5444582</v>
      </c>
    </row>
    <row r="2065" spans="1:2" x14ac:dyDescent="0.25">
      <c r="A2065">
        <v>0</v>
      </c>
      <c r="B2065">
        <v>5444584</v>
      </c>
    </row>
    <row r="2066" spans="1:2" x14ac:dyDescent="0.25">
      <c r="A2066" t="str">
        <v>Østre Engvej 16A, 5400 Bogense</v>
      </c>
      <c r="B2066">
        <v>5444585</v>
      </c>
    </row>
    <row r="2067" spans="1:2" x14ac:dyDescent="0.25">
      <c r="A2067" t="str">
        <v>Østre Engvej 16A, 5400 Bogense</v>
      </c>
      <c r="B2067">
        <v>5444585</v>
      </c>
    </row>
    <row r="2068" spans="1:2" x14ac:dyDescent="0.25">
      <c r="A2068" t="str">
        <v>Østre Engvej 16B, 5400 Bogense</v>
      </c>
      <c r="B2068">
        <v>5444585</v>
      </c>
    </row>
    <row r="2069" spans="1:2" x14ac:dyDescent="0.25">
      <c r="A2069" t="str">
        <v>Østre Engvej 18, 5400 Bogense</v>
      </c>
      <c r="B2069">
        <v>5444586</v>
      </c>
    </row>
    <row r="2070" spans="1:2" x14ac:dyDescent="0.25">
      <c r="A2070" t="str">
        <v>Stegøvej 10, 5400 Bogense</v>
      </c>
      <c r="B2070">
        <v>5444595</v>
      </c>
    </row>
    <row r="2071" spans="1:2" x14ac:dyDescent="0.25">
      <c r="A2071" t="str">
        <v>Stegøvej 10, 5400 Bogense</v>
      </c>
      <c r="B2071">
        <v>5444595</v>
      </c>
    </row>
    <row r="2072" spans="1:2" x14ac:dyDescent="0.25">
      <c r="A2072" t="str">
        <v>Stegøvej 10, 5400 Bogense</v>
      </c>
      <c r="B2072">
        <v>5444595</v>
      </c>
    </row>
    <row r="2073" spans="1:2" x14ac:dyDescent="0.25">
      <c r="A2073" t="str">
        <v>Stegøvej 10, 5400 Bogense</v>
      </c>
      <c r="B2073">
        <v>5444595</v>
      </c>
    </row>
    <row r="2074" spans="1:2" x14ac:dyDescent="0.25">
      <c r="A2074" t="str">
        <v>Stavangerparken 1, 5400 Bogense</v>
      </c>
      <c r="B2074">
        <v>5444599</v>
      </c>
    </row>
    <row r="2075" spans="1:2" x14ac:dyDescent="0.25">
      <c r="A2075" t="str">
        <v>Stavangerparken 3, 5400 Bogense</v>
      </c>
      <c r="B2075">
        <v>5444600</v>
      </c>
    </row>
    <row r="2076" spans="1:2" x14ac:dyDescent="0.25">
      <c r="A2076" t="str">
        <v>Stavangerparken 9, 5400 Bogense</v>
      </c>
      <c r="B2076">
        <v>5444603</v>
      </c>
    </row>
    <row r="2077" spans="1:2" x14ac:dyDescent="0.25">
      <c r="A2077" t="str">
        <v>Stavangerparken 11, 5400 Bogense</v>
      </c>
      <c r="B2077">
        <v>5444604</v>
      </c>
    </row>
    <row r="2078" spans="1:2" x14ac:dyDescent="0.25">
      <c r="A2078" t="str">
        <v>Stavangerparken 13, 5400 Bogense</v>
      </c>
      <c r="B2078">
        <v>5444605</v>
      </c>
    </row>
    <row r="2079" spans="1:2" x14ac:dyDescent="0.25">
      <c r="A2079" t="str">
        <v>Stavangerparken 15, 5400 Bogense</v>
      </c>
      <c r="B2079">
        <v>5444606</v>
      </c>
    </row>
    <row r="2080" spans="1:2" x14ac:dyDescent="0.25">
      <c r="A2080" t="str">
        <v>Stavangerparken 19, 5400 Bogense</v>
      </c>
      <c r="B2080">
        <v>5444607</v>
      </c>
    </row>
    <row r="2081" spans="1:2" x14ac:dyDescent="0.25">
      <c r="A2081" t="str">
        <v>Stavangerparken 17, 5400 Bogense</v>
      </c>
      <c r="B2081">
        <v>5444608</v>
      </c>
    </row>
    <row r="2082" spans="1:2" x14ac:dyDescent="0.25">
      <c r="A2082" t="str">
        <v>Stavangerparken 29, 5400 Bogense</v>
      </c>
      <c r="B2082">
        <v>5444609</v>
      </c>
    </row>
    <row r="2083" spans="1:2" x14ac:dyDescent="0.25">
      <c r="A2083" t="str">
        <v>Stavangerparken 35, 5400 Bogense</v>
      </c>
      <c r="B2083">
        <v>5444610</v>
      </c>
    </row>
    <row r="2084" spans="1:2" x14ac:dyDescent="0.25">
      <c r="A2084" t="str">
        <v>Stavangerparken 37, 5400 Bogense</v>
      </c>
      <c r="B2084">
        <v>5444611</v>
      </c>
    </row>
    <row r="2085" spans="1:2" x14ac:dyDescent="0.25">
      <c r="A2085" t="str">
        <v>Stavangerparken 39, 5400 Bogense</v>
      </c>
      <c r="B2085">
        <v>5444612</v>
      </c>
    </row>
    <row r="2086" spans="1:2" x14ac:dyDescent="0.25">
      <c r="A2086" t="str">
        <v>Stavangerparken 31, 5400 Bogense</v>
      </c>
      <c r="B2086">
        <v>5444613</v>
      </c>
    </row>
    <row r="2087" spans="1:2" x14ac:dyDescent="0.25">
      <c r="A2087" t="str">
        <v>Stavangerparken 33, 5400 Bogense</v>
      </c>
      <c r="B2087">
        <v>5444614</v>
      </c>
    </row>
    <row r="2088" spans="1:2" x14ac:dyDescent="0.25">
      <c r="A2088" t="str">
        <v>Stavangerparken 23C, 5400 Bogense</v>
      </c>
      <c r="B2088">
        <v>5444615</v>
      </c>
    </row>
    <row r="2089" spans="1:2" x14ac:dyDescent="0.25">
      <c r="A2089" t="str">
        <v>Stavangerparken 43, 5400 Bogense</v>
      </c>
      <c r="B2089">
        <v>5444616</v>
      </c>
    </row>
    <row r="2090" spans="1:2" x14ac:dyDescent="0.25">
      <c r="A2090" t="str">
        <v>Stavangerparken 45, 5400 Bogense</v>
      </c>
      <c r="B2090">
        <v>5444617</v>
      </c>
    </row>
    <row r="2091" spans="1:2" x14ac:dyDescent="0.25">
      <c r="A2091" t="str">
        <v>Stavangerparken 47, 5400 Bogense</v>
      </c>
      <c r="B2091">
        <v>5444618</v>
      </c>
    </row>
    <row r="2092" spans="1:2" x14ac:dyDescent="0.25">
      <c r="A2092" t="str">
        <v>Stavangerparken 12, 5400 Bogense</v>
      </c>
      <c r="B2092">
        <v>5444620</v>
      </c>
    </row>
    <row r="2093" spans="1:2" x14ac:dyDescent="0.25">
      <c r="A2093" t="str">
        <v>Stavangerparken 10, 5400 Bogense</v>
      </c>
      <c r="B2093">
        <v>5444621</v>
      </c>
    </row>
    <row r="2094" spans="1:2" x14ac:dyDescent="0.25">
      <c r="A2094" t="str">
        <v>Stavangerparken 8, 5400 Bogense</v>
      </c>
      <c r="B2094">
        <v>5444622</v>
      </c>
    </row>
    <row r="2095" spans="1:2" x14ac:dyDescent="0.25">
      <c r="A2095" t="str">
        <v>Bodøparken 1, 5400 Bogense</v>
      </c>
      <c r="B2095">
        <v>5444623</v>
      </c>
    </row>
    <row r="2096" spans="1:2" x14ac:dyDescent="0.25">
      <c r="A2096" t="str">
        <v>Bodøparken 3, 5400 Bogense</v>
      </c>
      <c r="B2096">
        <v>5444624</v>
      </c>
    </row>
    <row r="2097" spans="1:2" x14ac:dyDescent="0.25">
      <c r="A2097" t="str">
        <v>Bodøparken 5, 5400 Bogense</v>
      </c>
      <c r="B2097">
        <v>5444625</v>
      </c>
    </row>
    <row r="2098" spans="1:2" x14ac:dyDescent="0.25">
      <c r="A2098" t="str">
        <v>Bodøparken 7, 5400 Bogense</v>
      </c>
      <c r="B2098">
        <v>5444626</v>
      </c>
    </row>
    <row r="2099" spans="1:2" x14ac:dyDescent="0.25">
      <c r="A2099" t="str">
        <v>Bodøparken 9, 5400 Bogense</v>
      </c>
      <c r="B2099">
        <v>5444627</v>
      </c>
    </row>
    <row r="2100" spans="1:2" x14ac:dyDescent="0.25">
      <c r="A2100" t="str">
        <v>Bodøparken 11, 5400 Bogense</v>
      </c>
      <c r="B2100">
        <v>5444628</v>
      </c>
    </row>
    <row r="2101" spans="1:2" x14ac:dyDescent="0.25">
      <c r="A2101" t="str">
        <v>Bodøparken 13, 5400 Bogense</v>
      </c>
      <c r="B2101">
        <v>5444629</v>
      </c>
    </row>
    <row r="2102" spans="1:2" x14ac:dyDescent="0.25">
      <c r="A2102" t="str">
        <v>Bodøparken 15, 5400 Bogense</v>
      </c>
      <c r="B2102">
        <v>5444630</v>
      </c>
    </row>
    <row r="2103" spans="1:2" x14ac:dyDescent="0.25">
      <c r="A2103" t="str">
        <v>Bodøparken 17, 5400 Bogense</v>
      </c>
      <c r="B2103">
        <v>5444631</v>
      </c>
    </row>
    <row r="2104" spans="1:2" x14ac:dyDescent="0.25">
      <c r="A2104" t="str">
        <v>Bodøparken 19, 5400 Bogense</v>
      </c>
      <c r="B2104">
        <v>5444632</v>
      </c>
    </row>
    <row r="2105" spans="1:2" x14ac:dyDescent="0.25">
      <c r="A2105" t="str">
        <v>Bodøparken 25, 5400 Bogense</v>
      </c>
      <c r="B2105">
        <v>5444633</v>
      </c>
    </row>
    <row r="2106" spans="1:2" x14ac:dyDescent="0.25">
      <c r="A2106" t="str">
        <v>Bodøparken 23, 5400 Bogense</v>
      </c>
      <c r="B2106">
        <v>5444634</v>
      </c>
    </row>
    <row r="2107" spans="1:2" x14ac:dyDescent="0.25">
      <c r="A2107" t="str">
        <v>Bodøparken 21, 5400 Bogense</v>
      </c>
      <c r="B2107">
        <v>5444635</v>
      </c>
    </row>
    <row r="2108" spans="1:2" x14ac:dyDescent="0.25">
      <c r="A2108" t="str">
        <v>Bodøparken 33, 5400 Bogense</v>
      </c>
      <c r="B2108">
        <v>5444636</v>
      </c>
    </row>
    <row r="2109" spans="1:2" x14ac:dyDescent="0.25">
      <c r="A2109" t="str">
        <v>Bodøparken 31, 5400 Bogense</v>
      </c>
      <c r="B2109">
        <v>5444637</v>
      </c>
    </row>
    <row r="2110" spans="1:2" x14ac:dyDescent="0.25">
      <c r="A2110" t="str">
        <v>Bodøparken 29, 5400 Bogense</v>
      </c>
      <c r="B2110">
        <v>5444638</v>
      </c>
    </row>
    <row r="2111" spans="1:2" x14ac:dyDescent="0.25">
      <c r="A2111" t="str">
        <v>Bodøparken 10, 5400 Bogense</v>
      </c>
      <c r="B2111">
        <v>5444639</v>
      </c>
    </row>
    <row r="2112" spans="1:2" x14ac:dyDescent="0.25">
      <c r="A2112" t="str">
        <v>Bodøparken 12, 5400 Bogense</v>
      </c>
      <c r="B2112">
        <v>5444640</v>
      </c>
    </row>
    <row r="2113" spans="1:2" x14ac:dyDescent="0.25">
      <c r="A2113" t="str">
        <v>Bodøparken 14, 5400 Bogense</v>
      </c>
      <c r="B2113">
        <v>5444641</v>
      </c>
    </row>
    <row r="2114" spans="1:2" x14ac:dyDescent="0.25">
      <c r="A2114" t="str">
        <v>Bodøparken 36, 5400 Bogense</v>
      </c>
      <c r="B2114">
        <v>5444642</v>
      </c>
    </row>
    <row r="2115" spans="1:2" x14ac:dyDescent="0.25">
      <c r="A2115" t="str">
        <v>Stavangerparken 23B, 5400 Bogense</v>
      </c>
      <c r="B2115">
        <v>5444643</v>
      </c>
    </row>
    <row r="2116" spans="1:2" x14ac:dyDescent="0.25">
      <c r="A2116" t="str">
        <v>Stavangerparken 23A, 5400 Bogense</v>
      </c>
      <c r="B2116">
        <v>5444644</v>
      </c>
    </row>
    <row r="2117" spans="1:2" x14ac:dyDescent="0.25">
      <c r="A2117" t="str">
        <v>Stavangerparken 21B, 5400 Bogense</v>
      </c>
      <c r="B2117">
        <v>5444645</v>
      </c>
    </row>
    <row r="2118" spans="1:2" x14ac:dyDescent="0.25">
      <c r="A2118" t="str">
        <v>Stavangerparken 21A, 5400 Bogense</v>
      </c>
      <c r="B2118">
        <v>5444646</v>
      </c>
    </row>
    <row r="2119" spans="1:2" x14ac:dyDescent="0.25">
      <c r="A2119" t="str">
        <v>Stavangerparken 49, 5400 Bogense</v>
      </c>
      <c r="B2119">
        <v>5444647</v>
      </c>
    </row>
    <row r="2120" spans="1:2" x14ac:dyDescent="0.25">
      <c r="A2120" t="str">
        <v>Stavangerparken 51, 5400 Bogense</v>
      </c>
      <c r="B2120">
        <v>5444648</v>
      </c>
    </row>
    <row r="2121" spans="1:2" x14ac:dyDescent="0.25">
      <c r="A2121" t="str">
        <v>Stavangerparken 14, 5400 Bogense</v>
      </c>
      <c r="B2121">
        <v>5444651</v>
      </c>
    </row>
    <row r="2122" spans="1:2" x14ac:dyDescent="0.25">
      <c r="A2122" t="str">
        <v>Gyldensteensvej 75, 5400 Bogense</v>
      </c>
      <c r="B2122">
        <v>5444656</v>
      </c>
    </row>
    <row r="2123" spans="1:2" x14ac:dyDescent="0.25">
      <c r="A2123" t="str">
        <v>Tromsøparken 2, Bogense, 5400 Bogense</v>
      </c>
      <c r="B2123">
        <v>5444664</v>
      </c>
    </row>
    <row r="2124" spans="1:2" x14ac:dyDescent="0.25">
      <c r="A2124" t="str">
        <v>Huggetvej 59, Gungerne, 5400 Bogense</v>
      </c>
      <c r="B2124">
        <v>5444665</v>
      </c>
    </row>
    <row r="2125" spans="1:2" x14ac:dyDescent="0.25">
      <c r="A2125" t="str">
        <v>Almindevej 50, Almindehuse, 5400 Bogense</v>
      </c>
      <c r="B2125">
        <v>5444669</v>
      </c>
    </row>
    <row r="2126" spans="1:2" x14ac:dyDescent="0.25">
      <c r="A2126" t="str">
        <v>Stegøvej 2, 5400 Bogense</v>
      </c>
      <c r="B2126">
        <v>5444671</v>
      </c>
    </row>
    <row r="2127" spans="1:2" x14ac:dyDescent="0.25">
      <c r="A2127" t="str">
        <v>Gyldensteensvej 51, th, 5400 Bogense</v>
      </c>
      <c r="B2127">
        <v>5444671</v>
      </c>
    </row>
    <row r="2128" spans="1:2" x14ac:dyDescent="0.25">
      <c r="A2128" t="str">
        <v>Gyldensteensvej 51, tv, 5400 Bogense</v>
      </c>
      <c r="B2128">
        <v>5444671</v>
      </c>
    </row>
    <row r="2129" spans="1:2" x14ac:dyDescent="0.25">
      <c r="A2129" t="str">
        <v>Stegøvej 2, 5400 Bogense</v>
      </c>
      <c r="B2129">
        <v>5444671</v>
      </c>
    </row>
    <row r="2130" spans="1:2" x14ac:dyDescent="0.25">
      <c r="A2130" t="str">
        <v>Stegøvej 6A, 5400 Bogense</v>
      </c>
      <c r="B2130">
        <v>5444671</v>
      </c>
    </row>
    <row r="2131" spans="1:2" x14ac:dyDescent="0.25">
      <c r="A2131" t="str">
        <v>Stegøvej 6B, 5400 Bogense</v>
      </c>
      <c r="B2131">
        <v>5444671</v>
      </c>
    </row>
    <row r="2132" spans="1:2" x14ac:dyDescent="0.25">
      <c r="A2132" t="str">
        <v>Stegøvej 6C, 5400 Bogense</v>
      </c>
      <c r="B2132">
        <v>5444671</v>
      </c>
    </row>
    <row r="2133" spans="1:2" x14ac:dyDescent="0.25">
      <c r="A2133" t="str">
        <v>Stegøvej 6D, 5400 Bogense</v>
      </c>
      <c r="B2133">
        <v>5444671</v>
      </c>
    </row>
    <row r="2134" spans="1:2" x14ac:dyDescent="0.25">
      <c r="A2134" t="str">
        <v>Stegøvej 6E, 5400 Bogense</v>
      </c>
      <c r="B2134">
        <v>5444671</v>
      </c>
    </row>
    <row r="2135" spans="1:2" x14ac:dyDescent="0.25">
      <c r="A2135" t="str">
        <v>Stegøvej 6F, 5400 Bogense</v>
      </c>
      <c r="B2135">
        <v>5444671</v>
      </c>
    </row>
    <row r="2136" spans="1:2" x14ac:dyDescent="0.25">
      <c r="A2136" t="str">
        <v>Stegøvej 6G, 5400 Bogense</v>
      </c>
      <c r="B2136">
        <v>5444671</v>
      </c>
    </row>
    <row r="2137" spans="1:2" x14ac:dyDescent="0.25">
      <c r="A2137" t="str">
        <v>Stegøvej 6H, 5400 Bogense</v>
      </c>
      <c r="B2137">
        <v>5444671</v>
      </c>
    </row>
    <row r="2138" spans="1:2" x14ac:dyDescent="0.25">
      <c r="A2138" t="str">
        <v>Gyldensteensvej 73, 5400 Bogense</v>
      </c>
      <c r="B2138">
        <v>5444679</v>
      </c>
    </row>
    <row r="2139" spans="1:2" x14ac:dyDescent="0.25">
      <c r="A2139" t="str">
        <v>Gyldensteensvej 71, 5400 Bogense</v>
      </c>
      <c r="B2139">
        <v>5444680</v>
      </c>
    </row>
    <row r="2140" spans="1:2" x14ac:dyDescent="0.25">
      <c r="A2140" t="str">
        <v>Gyldensteensvej 63, 5400 Bogense</v>
      </c>
      <c r="B2140">
        <v>5444684</v>
      </c>
    </row>
    <row r="2141" spans="1:2" x14ac:dyDescent="0.25">
      <c r="A2141" t="str">
        <v>Gyldensteensvej 61, 5400 Bogense</v>
      </c>
      <c r="B2141">
        <v>5444685</v>
      </c>
    </row>
    <row r="2142" spans="1:2" x14ac:dyDescent="0.25">
      <c r="A2142" t="str">
        <v>Gyldensteensvej 57, 5400 Bogense</v>
      </c>
      <c r="B2142">
        <v>5444688</v>
      </c>
    </row>
    <row r="2143" spans="1:2" x14ac:dyDescent="0.25">
      <c r="A2143" t="str">
        <v>Gyldensteensvej 55, 5400 Bogense</v>
      </c>
      <c r="B2143">
        <v>5444689</v>
      </c>
    </row>
    <row r="2144" spans="1:2" x14ac:dyDescent="0.25">
      <c r="A2144" t="str">
        <v>Gyldensteensvej 53, 5400 Bogense</v>
      </c>
      <c r="B2144">
        <v>5444690</v>
      </c>
    </row>
    <row r="2145" spans="1:2" x14ac:dyDescent="0.25">
      <c r="A2145" t="str">
        <v>Huggetvej 47, Bogense Mark, 5400 Bogense</v>
      </c>
      <c r="B2145">
        <v>5444692</v>
      </c>
    </row>
    <row r="2146" spans="1:2" x14ac:dyDescent="0.25">
      <c r="A2146" t="str">
        <v>Almindevej 38, Almindehuse, 5400 Bogense</v>
      </c>
      <c r="B2146">
        <v>5444694</v>
      </c>
    </row>
    <row r="2147" spans="1:2" x14ac:dyDescent="0.25">
      <c r="A2147" t="str">
        <v>Skovvej 49, 5400 Bogense</v>
      </c>
      <c r="B2147">
        <v>5444697</v>
      </c>
    </row>
    <row r="2148" spans="1:2" x14ac:dyDescent="0.25">
      <c r="A2148" t="str">
        <v>Skovvej 61, 5400 Bogense</v>
      </c>
      <c r="B2148">
        <v>5444698</v>
      </c>
    </row>
    <row r="2149" spans="1:2" x14ac:dyDescent="0.25">
      <c r="A2149" t="str">
        <v>Skovvej 63, 5400 Bogense</v>
      </c>
      <c r="B2149">
        <v>5444699</v>
      </c>
    </row>
    <row r="2150" spans="1:2" x14ac:dyDescent="0.25">
      <c r="A2150" t="str">
        <v>Skovvej 65, 5400 Bogense</v>
      </c>
      <c r="B2150">
        <v>5444700</v>
      </c>
    </row>
    <row r="2151" spans="1:2" x14ac:dyDescent="0.25">
      <c r="A2151" t="str">
        <v>Skovvej 59, 5400 Bogense</v>
      </c>
      <c r="B2151">
        <v>5444701</v>
      </c>
    </row>
    <row r="2152" spans="1:2" x14ac:dyDescent="0.25">
      <c r="A2152" t="str">
        <v>Skovvej 57, 5400 Bogense</v>
      </c>
      <c r="B2152">
        <v>5444703</v>
      </c>
    </row>
    <row r="2153" spans="1:2" x14ac:dyDescent="0.25">
      <c r="A2153" t="str">
        <v>Skovvej 55, 5400 Bogense</v>
      </c>
      <c r="B2153">
        <v>5444704</v>
      </c>
    </row>
    <row r="2154" spans="1:2" x14ac:dyDescent="0.25">
      <c r="A2154" t="str">
        <v>Skovvej 53, 5400 Bogense</v>
      </c>
      <c r="B2154">
        <v>5444705</v>
      </c>
    </row>
    <row r="2155" spans="1:2" x14ac:dyDescent="0.25">
      <c r="A2155" t="str">
        <v>Skovvej 41, 5400 Bogense</v>
      </c>
      <c r="B2155">
        <v>5444706</v>
      </c>
    </row>
    <row r="2156" spans="1:2" x14ac:dyDescent="0.25">
      <c r="A2156" t="str">
        <v>Skovvej 43, 5400 Bogense</v>
      </c>
      <c r="B2156">
        <v>5444707</v>
      </c>
    </row>
    <row r="2157" spans="1:2" x14ac:dyDescent="0.25">
      <c r="A2157" t="str">
        <v>Skovvej 45, 5400 Bogense</v>
      </c>
      <c r="B2157">
        <v>5444708</v>
      </c>
    </row>
    <row r="2158" spans="1:2" x14ac:dyDescent="0.25">
      <c r="A2158" t="str">
        <v>Skovvej 39, 5400 Bogense</v>
      </c>
      <c r="B2158">
        <v>5444709</v>
      </c>
    </row>
    <row r="2159" spans="1:2" x14ac:dyDescent="0.25">
      <c r="A2159" t="str">
        <v>Skovvej 37, 5400 Bogense</v>
      </c>
      <c r="B2159">
        <v>5444710</v>
      </c>
    </row>
    <row r="2160" spans="1:2" x14ac:dyDescent="0.25">
      <c r="A2160" t="str">
        <v>Skovvej 51, 5400 Bogense</v>
      </c>
      <c r="B2160">
        <v>5444711</v>
      </c>
    </row>
    <row r="2161" spans="1:2" x14ac:dyDescent="0.25">
      <c r="A2161" t="str">
        <v>Skovvej 47, 5400 Bogense</v>
      </c>
      <c r="B2161">
        <v>5444712</v>
      </c>
    </row>
    <row r="2162" spans="1:2" x14ac:dyDescent="0.25">
      <c r="A2162" t="str">
        <v>Skovvej 49, 5400 Bogense</v>
      </c>
      <c r="B2162">
        <v>5444713</v>
      </c>
    </row>
    <row r="2163" spans="1:2" x14ac:dyDescent="0.25">
      <c r="A2163" t="str">
        <v>Stegøvej 22A, 5400 Bogense</v>
      </c>
      <c r="B2163">
        <v>5444716</v>
      </c>
    </row>
    <row r="2164" spans="1:2" x14ac:dyDescent="0.25">
      <c r="A2164" t="str">
        <v>Stegøvej 16, 5400 Bogense</v>
      </c>
      <c r="B2164">
        <v>5444717</v>
      </c>
    </row>
    <row r="2165" spans="1:2" x14ac:dyDescent="0.25">
      <c r="A2165" t="str">
        <v>Stegøvej 18, 5400 Bogense</v>
      </c>
      <c r="B2165">
        <v>5444718</v>
      </c>
    </row>
    <row r="2166" spans="1:2" x14ac:dyDescent="0.25">
      <c r="A2166" t="str">
        <v>Stegøvej 18, 5400 Bogense</v>
      </c>
      <c r="B2166">
        <v>5444718</v>
      </c>
    </row>
    <row r="2167" spans="1:2" x14ac:dyDescent="0.25">
      <c r="A2167" t="str">
        <v>Stegøvej 18, 5400 Bogense</v>
      </c>
      <c r="B2167">
        <v>5444718</v>
      </c>
    </row>
    <row r="2168" spans="1:2" x14ac:dyDescent="0.25">
      <c r="A2168" t="str">
        <v>Stegøvej 24, 5400 Bogense</v>
      </c>
      <c r="B2168">
        <v>5444721</v>
      </c>
    </row>
    <row r="2169" spans="1:2" x14ac:dyDescent="0.25">
      <c r="A2169" t="str">
        <v>Stegøvej 26, 5400 Bogense</v>
      </c>
      <c r="B2169">
        <v>5444722</v>
      </c>
    </row>
    <row r="2170" spans="1:2" x14ac:dyDescent="0.25">
      <c r="A2170" t="str">
        <v>Stegøvej 28, 5400 Bogense</v>
      </c>
      <c r="B2170">
        <v>5444723</v>
      </c>
    </row>
    <row r="2171" spans="1:2" x14ac:dyDescent="0.25">
      <c r="A2171" t="str">
        <v>Stegøvej 30, 5400 Bogense</v>
      </c>
      <c r="B2171">
        <v>5444724</v>
      </c>
    </row>
    <row r="2172" spans="1:2" x14ac:dyDescent="0.25">
      <c r="A2172" t="str">
        <v>Stegøvej 32, 5400 Bogense</v>
      </c>
      <c r="B2172">
        <v>5444725</v>
      </c>
    </row>
    <row r="2173" spans="1:2" x14ac:dyDescent="0.25">
      <c r="A2173" t="str">
        <v>Stegøvej 34, 5400 Bogense</v>
      </c>
      <c r="B2173">
        <v>5444726</v>
      </c>
    </row>
    <row r="2174" spans="1:2" x14ac:dyDescent="0.25">
      <c r="A2174" t="str">
        <v>Stegøvej 36, 5400 Bogense</v>
      </c>
      <c r="B2174">
        <v>5444727</v>
      </c>
    </row>
    <row r="2175" spans="1:2" x14ac:dyDescent="0.25">
      <c r="A2175" t="str">
        <v>Almindevej 56, Almindehuse, 5400 Bogense</v>
      </c>
      <c r="B2175">
        <v>5444729</v>
      </c>
    </row>
    <row r="2176" spans="1:2" x14ac:dyDescent="0.25">
      <c r="A2176" t="str">
        <v>Almindevej 52, Almindehuse, 5400 Bogense</v>
      </c>
      <c r="B2176">
        <v>5444732</v>
      </c>
    </row>
    <row r="2177" spans="1:2" x14ac:dyDescent="0.25">
      <c r="A2177" t="str">
        <v>Almindevej 54, Almindehuse, 5400 Bogense</v>
      </c>
      <c r="B2177">
        <v>5444733</v>
      </c>
    </row>
    <row r="2178" spans="1:2" x14ac:dyDescent="0.25">
      <c r="A2178" t="str">
        <v>Gyldensteensvej 13, 5400 Bogense</v>
      </c>
      <c r="B2178">
        <v>5444740</v>
      </c>
    </row>
    <row r="2179" spans="1:2" x14ac:dyDescent="0.25">
      <c r="A2179" t="str">
        <v>Gyldensteensvej 15A, 5400 Bogense</v>
      </c>
      <c r="B2179">
        <v>5444741</v>
      </c>
    </row>
    <row r="2180" spans="1:2" x14ac:dyDescent="0.25">
      <c r="A2180" t="str">
        <v>Gyldensteensvej 15B, 5400 Bogense</v>
      </c>
      <c r="B2180">
        <v>5444741</v>
      </c>
    </row>
    <row r="2181" spans="1:2" x14ac:dyDescent="0.25">
      <c r="A2181" t="str">
        <v>Gyldensteensvej 17, 1., 5400 Bogense</v>
      </c>
      <c r="B2181">
        <v>5444742</v>
      </c>
    </row>
    <row r="2182" spans="1:2" x14ac:dyDescent="0.25">
      <c r="A2182" t="str">
        <v>Gyldensteensvej 17, st., 5400 Bogense</v>
      </c>
      <c r="B2182">
        <v>5444742</v>
      </c>
    </row>
    <row r="2183" spans="1:2" x14ac:dyDescent="0.25">
      <c r="A2183" t="str">
        <v>Gyldensteensvej 19, 5400 Bogense</v>
      </c>
      <c r="B2183">
        <v>5444743</v>
      </c>
    </row>
    <row r="2184" spans="1:2" x14ac:dyDescent="0.25">
      <c r="A2184" t="str">
        <v>Gyldensteensvej 21, 5400 Bogense</v>
      </c>
      <c r="B2184">
        <v>5444744</v>
      </c>
    </row>
    <row r="2185" spans="1:2" x14ac:dyDescent="0.25">
      <c r="A2185" t="str">
        <v>Gyldensteensvej 23, 5400 Bogense</v>
      </c>
      <c r="B2185">
        <v>5444745</v>
      </c>
    </row>
    <row r="2186" spans="1:2" x14ac:dyDescent="0.25">
      <c r="A2186" t="str">
        <v>Gyldensteensvej 31, st., 5400 Bogense</v>
      </c>
      <c r="B2186">
        <v>5444746</v>
      </c>
    </row>
    <row r="2187" spans="1:2" x14ac:dyDescent="0.25">
      <c r="A2187" t="str">
        <v>Lindøvej 2A, 1., 5400 Bogense</v>
      </c>
      <c r="B2187">
        <v>5444746</v>
      </c>
    </row>
    <row r="2188" spans="1:2" x14ac:dyDescent="0.25">
      <c r="A2188" t="str">
        <v>Lindøvej 2A, 2., 5400 Bogense</v>
      </c>
      <c r="B2188">
        <v>5444746</v>
      </c>
    </row>
    <row r="2189" spans="1:2" x14ac:dyDescent="0.25">
      <c r="A2189" t="str">
        <v>Gyldensteensvej 33, 5400 Bogense</v>
      </c>
      <c r="B2189">
        <v>5444747</v>
      </c>
    </row>
    <row r="2190" spans="1:2" x14ac:dyDescent="0.25">
      <c r="A2190" t="str">
        <v>Gyldensteensvej 35, 1., 5400 Bogense</v>
      </c>
      <c r="B2190">
        <v>5444748</v>
      </c>
    </row>
    <row r="2191" spans="1:2" x14ac:dyDescent="0.25">
      <c r="A2191" t="str">
        <v>Gyldensteensvej 35, 2., 5400 Bogense</v>
      </c>
      <c r="B2191">
        <v>5444748</v>
      </c>
    </row>
    <row r="2192" spans="1:2" x14ac:dyDescent="0.25">
      <c r="A2192" t="str">
        <v>Gyldensteensvej 35, st., 5400 Bogense</v>
      </c>
      <c r="B2192">
        <v>5444748</v>
      </c>
    </row>
    <row r="2193" spans="1:2" x14ac:dyDescent="0.25">
      <c r="A2193" t="str">
        <v>Gyldensteensvej 37, 1., 5400 Bogense</v>
      </c>
      <c r="B2193">
        <v>5444749</v>
      </c>
    </row>
    <row r="2194" spans="1:2" x14ac:dyDescent="0.25">
      <c r="A2194" t="str">
        <v>Gyldensteensvej 37, st., 5400 Bogense</v>
      </c>
      <c r="B2194">
        <v>5444749</v>
      </c>
    </row>
    <row r="2195" spans="1:2" x14ac:dyDescent="0.25">
      <c r="A2195" t="str">
        <v>Lindøvej 2, 5400 Bogense</v>
      </c>
      <c r="B2195">
        <v>5444752</v>
      </c>
    </row>
    <row r="2196" spans="1:2" x14ac:dyDescent="0.25">
      <c r="A2196" t="str">
        <v>Gyldensteensvej 25, 5400 Bogense</v>
      </c>
      <c r="B2196">
        <v>5444753</v>
      </c>
    </row>
    <row r="2197" spans="1:2" x14ac:dyDescent="0.25">
      <c r="A2197" t="str">
        <v>Gyldensteensvej 27, 5400 Bogense</v>
      </c>
      <c r="B2197">
        <v>5444754</v>
      </c>
    </row>
    <row r="2198" spans="1:2" x14ac:dyDescent="0.25">
      <c r="A2198" t="str">
        <v>Gyldensteensvej 29, 5400 Bogense</v>
      </c>
      <c r="B2198">
        <v>5444755</v>
      </c>
    </row>
    <row r="2199" spans="1:2" x14ac:dyDescent="0.25">
      <c r="A2199" t="str">
        <v>Lindøvej 7, 5400 Bogense</v>
      </c>
      <c r="B2199">
        <v>5444756</v>
      </c>
    </row>
    <row r="2200" spans="1:2" x14ac:dyDescent="0.25">
      <c r="A2200" t="str">
        <v>Lindøvej 3, 5400 Bogense</v>
      </c>
      <c r="B2200">
        <v>5444757</v>
      </c>
    </row>
    <row r="2201" spans="1:2" x14ac:dyDescent="0.25">
      <c r="A2201" t="str">
        <v>Lindøvej 8, 5400 Bogense</v>
      </c>
      <c r="B2201">
        <v>5444760</v>
      </c>
    </row>
    <row r="2202" spans="1:2" x14ac:dyDescent="0.25">
      <c r="A2202" t="str">
        <v>Lindøvej 4, 5400 Bogense</v>
      </c>
      <c r="B2202">
        <v>5444761</v>
      </c>
    </row>
    <row r="2203" spans="1:2" x14ac:dyDescent="0.25">
      <c r="A2203" t="str">
        <v>Lindøvej 5, 5400 Bogense</v>
      </c>
      <c r="B2203">
        <v>5444762</v>
      </c>
    </row>
    <row r="2204" spans="1:2" x14ac:dyDescent="0.25">
      <c r="A2204" t="str">
        <v>Lindøvej 6, 5400 Bogense</v>
      </c>
      <c r="B2204">
        <v>5444764</v>
      </c>
    </row>
    <row r="2205" spans="1:2" x14ac:dyDescent="0.25">
      <c r="A2205" t="str">
        <v>Skovvej 71, 5400 Bogense</v>
      </c>
      <c r="B2205">
        <v>5444778</v>
      </c>
    </row>
    <row r="2206" spans="1:2" x14ac:dyDescent="0.25">
      <c r="A2206" t="str">
        <v>Rolighedsvej 12, 5400 Bogense</v>
      </c>
      <c r="B2206">
        <v>5444784</v>
      </c>
    </row>
    <row r="2207" spans="1:2" x14ac:dyDescent="0.25">
      <c r="A2207" t="str">
        <v>Rolighedsvej 14, 5400 Bogense</v>
      </c>
      <c r="B2207">
        <v>5444789</v>
      </c>
    </row>
    <row r="2208" spans="1:2" x14ac:dyDescent="0.25">
      <c r="A2208" t="str">
        <v>Rolighedsvej 14, 5400 Bogense</v>
      </c>
      <c r="B2208">
        <v>5444789</v>
      </c>
    </row>
    <row r="2209" spans="1:2" x14ac:dyDescent="0.25">
      <c r="A2209" t="str">
        <v>Rolighedsvej 10, 5400 Bogense</v>
      </c>
      <c r="B2209">
        <v>5444790</v>
      </c>
    </row>
    <row r="2210" spans="1:2" x14ac:dyDescent="0.25">
      <c r="A2210" t="str">
        <v>Grønnevej 1, 5400 Bogense</v>
      </c>
      <c r="B2210">
        <v>5444793</v>
      </c>
    </row>
    <row r="2211" spans="1:2" x14ac:dyDescent="0.25">
      <c r="A2211" t="str">
        <v>Grønnevej 3, 5400 Bogense</v>
      </c>
      <c r="B2211">
        <v>5444794</v>
      </c>
    </row>
    <row r="2212" spans="1:2" x14ac:dyDescent="0.25">
      <c r="A2212" t="str">
        <v>Stegøvej 12, 5400 Bogense</v>
      </c>
      <c r="B2212">
        <v>5444812</v>
      </c>
    </row>
    <row r="2213" spans="1:2" x14ac:dyDescent="0.25">
      <c r="A2213" t="str">
        <v>Ved Stranden 1, 5400 Bogense</v>
      </c>
      <c r="B2213">
        <v>5444813</v>
      </c>
    </row>
    <row r="2214" spans="1:2" x14ac:dyDescent="0.25">
      <c r="A2214" t="str">
        <v>Huggetvej 39, Bogense Mark, 5400 Bogense</v>
      </c>
      <c r="B2214">
        <v>5444814</v>
      </c>
    </row>
    <row r="2215" spans="1:2" x14ac:dyDescent="0.25">
      <c r="A2215" t="str">
        <v>Odensevej 78, 5400 Bogense</v>
      </c>
      <c r="B2215">
        <v>5444819</v>
      </c>
    </row>
    <row r="2216" spans="1:2" x14ac:dyDescent="0.25">
      <c r="A2216" t="str">
        <v>Huggetvej 2, 5400 Bogense</v>
      </c>
      <c r="B2216">
        <v>5444820</v>
      </c>
    </row>
    <row r="2217" spans="1:2" x14ac:dyDescent="0.25">
      <c r="A2217" t="str">
        <v>Huggetvej 8, 5400 Bogense</v>
      </c>
      <c r="B2217">
        <v>5444821</v>
      </c>
    </row>
    <row r="2218" spans="1:2" x14ac:dyDescent="0.25">
      <c r="A2218" t="str">
        <v>Huggetvej 8, 5400 Bogense</v>
      </c>
      <c r="B2218">
        <v>5444821</v>
      </c>
    </row>
    <row r="2219" spans="1:2" x14ac:dyDescent="0.25">
      <c r="A2219" t="str">
        <v>Huggetvej 8, 5400 Bogense</v>
      </c>
      <c r="B2219">
        <v>5444821</v>
      </c>
    </row>
    <row r="2220" spans="1:2" x14ac:dyDescent="0.25">
      <c r="A2220" t="str">
        <v>Odensevej 41, 5400 Bogense</v>
      </c>
      <c r="B2220">
        <v>5444822</v>
      </c>
    </row>
    <row r="2221" spans="1:2" x14ac:dyDescent="0.25">
      <c r="A2221" t="str">
        <v>Odensevej 56A, 5400 Bogense</v>
      </c>
      <c r="B2221">
        <v>5444824</v>
      </c>
    </row>
    <row r="2222" spans="1:2" x14ac:dyDescent="0.25">
      <c r="A2222" t="str">
        <v>Odensevej 40A, 5400 Bogense</v>
      </c>
      <c r="B2222">
        <v>5444825</v>
      </c>
    </row>
    <row r="2223" spans="1:2" x14ac:dyDescent="0.25">
      <c r="A2223" t="str">
        <v>Odensevej 40A, 5400 Bogense</v>
      </c>
      <c r="B2223">
        <v>5444825</v>
      </c>
    </row>
    <row r="2224" spans="1:2" x14ac:dyDescent="0.25">
      <c r="A2224" t="str">
        <v>Odensevej 40B, 5400 Bogense</v>
      </c>
      <c r="B2224">
        <v>5444825</v>
      </c>
    </row>
    <row r="2225" spans="1:2" x14ac:dyDescent="0.25">
      <c r="A2225" t="str">
        <v>Ved Diget 1, 5400 Bogense</v>
      </c>
      <c r="B2225">
        <v>5444826</v>
      </c>
    </row>
    <row r="2226" spans="1:2" x14ac:dyDescent="0.25">
      <c r="A2226" t="str">
        <v>Odensevej 39, 5400 Bogense</v>
      </c>
      <c r="B2226">
        <v>5444827</v>
      </c>
    </row>
    <row r="2227" spans="1:2" x14ac:dyDescent="0.25">
      <c r="A2227" t="str">
        <v>Odensevej 43, 5400 Bogense</v>
      </c>
      <c r="B2227">
        <v>5444829</v>
      </c>
    </row>
    <row r="2228" spans="1:2" x14ac:dyDescent="0.25">
      <c r="A2228" t="str">
        <v>Ved Diget 3, 5400 Bogense</v>
      </c>
      <c r="B2228">
        <v>5444832</v>
      </c>
    </row>
    <row r="2229" spans="1:2" x14ac:dyDescent="0.25">
      <c r="A2229" t="str">
        <v>Odensevej 56, 5400 Bogense</v>
      </c>
      <c r="B2229">
        <v>5444833</v>
      </c>
    </row>
    <row r="2230" spans="1:2" x14ac:dyDescent="0.25">
      <c r="A2230" t="str">
        <v>Odensevej 54, 5400 Bogense</v>
      </c>
      <c r="B2230">
        <v>5444834</v>
      </c>
    </row>
    <row r="2231" spans="1:2" x14ac:dyDescent="0.25">
      <c r="A2231" t="str">
        <v>Odensevej 46, 5400 Bogense</v>
      </c>
      <c r="B2231">
        <v>5444835</v>
      </c>
    </row>
    <row r="2232" spans="1:2" x14ac:dyDescent="0.25">
      <c r="A2232" t="str">
        <v>Odensevej 48, 5400 Bogense</v>
      </c>
      <c r="B2232">
        <v>5444836</v>
      </c>
    </row>
    <row r="2233" spans="1:2" x14ac:dyDescent="0.25">
      <c r="A2233" t="str">
        <v>Odensevej 50, 5400 Bogense</v>
      </c>
      <c r="B2233">
        <v>5444837</v>
      </c>
    </row>
    <row r="2234" spans="1:2" x14ac:dyDescent="0.25">
      <c r="A2234" t="str">
        <v>Odensevej 52, 5400 Bogense</v>
      </c>
      <c r="B2234">
        <v>5444838</v>
      </c>
    </row>
    <row r="2235" spans="1:2" x14ac:dyDescent="0.25">
      <c r="A2235" t="str">
        <v>Odensevej 44, 5400 Bogense</v>
      </c>
      <c r="B2235">
        <v>5444839</v>
      </c>
    </row>
    <row r="2236" spans="1:2" x14ac:dyDescent="0.25">
      <c r="A2236" t="str">
        <v>Odensevej 42A, 5400 Bogense</v>
      </c>
      <c r="B2236">
        <v>5444841</v>
      </c>
    </row>
    <row r="2237" spans="1:2" x14ac:dyDescent="0.25">
      <c r="A2237" t="str">
        <v>Odensevej 42A, 5400 Bogense</v>
      </c>
      <c r="B2237">
        <v>5444841</v>
      </c>
    </row>
    <row r="2238" spans="1:2" x14ac:dyDescent="0.25">
      <c r="A2238" t="str">
        <v>Odensevej 42B, 5400 Bogense</v>
      </c>
      <c r="B2238">
        <v>5444841</v>
      </c>
    </row>
    <row r="2239" spans="1:2" x14ac:dyDescent="0.25">
      <c r="A2239" t="str">
        <v>Odensevej 42C, 5400 Bogense</v>
      </c>
      <c r="B2239">
        <v>5444841</v>
      </c>
    </row>
    <row r="2240" spans="1:2" x14ac:dyDescent="0.25">
      <c r="A2240" t="str">
        <v>Odensevej 42D, 5400 Bogense</v>
      </c>
      <c r="B2240">
        <v>5444841</v>
      </c>
    </row>
    <row r="2241" spans="1:2" x14ac:dyDescent="0.25">
      <c r="A2241" t="str">
        <v>Odensevej 42E, 5400 Bogense</v>
      </c>
      <c r="B2241">
        <v>5444841</v>
      </c>
    </row>
    <row r="2242" spans="1:2" x14ac:dyDescent="0.25">
      <c r="A2242" t="str">
        <v>Odensevej 42F, 5400 Bogense</v>
      </c>
      <c r="B2242">
        <v>5444841</v>
      </c>
    </row>
    <row r="2243" spans="1:2" x14ac:dyDescent="0.25">
      <c r="A2243" t="str">
        <v>Odensevej 42G, 5400 Bogense</v>
      </c>
      <c r="B2243">
        <v>5444841</v>
      </c>
    </row>
    <row r="2244" spans="1:2" x14ac:dyDescent="0.25">
      <c r="A2244" t="str">
        <v>Odensevej 42H, 5400 Bogense</v>
      </c>
      <c r="B2244">
        <v>5444841</v>
      </c>
    </row>
    <row r="2245" spans="1:2" x14ac:dyDescent="0.25">
      <c r="A2245" t="str">
        <v>Odensevej 42K, 5400 Bogense</v>
      </c>
      <c r="B2245">
        <v>5444841</v>
      </c>
    </row>
    <row r="2246" spans="1:2" x14ac:dyDescent="0.25">
      <c r="A2246" t="str">
        <v>Oslovej 48A, 5400 Bogense</v>
      </c>
      <c r="B2246">
        <v>5444842</v>
      </c>
    </row>
    <row r="2247" spans="1:2" x14ac:dyDescent="0.25">
      <c r="A2247" t="str">
        <v>Odensevej 48, 5400 Bogense</v>
      </c>
      <c r="B2247">
        <v>5444843</v>
      </c>
    </row>
    <row r="2248" spans="1:2" x14ac:dyDescent="0.25">
      <c r="A2248" t="str">
        <v>Odensevej 50, 5400 Bogense</v>
      </c>
      <c r="B2248">
        <v>5444844</v>
      </c>
    </row>
    <row r="2249" spans="1:2" x14ac:dyDescent="0.25">
      <c r="A2249">
        <v>0</v>
      </c>
      <c r="B2249">
        <v>5444845</v>
      </c>
    </row>
    <row r="2250" spans="1:2" x14ac:dyDescent="0.25">
      <c r="A2250" t="str">
        <v>Fuglebakken 3, 5400 Bogense</v>
      </c>
      <c r="B2250">
        <v>5444846</v>
      </c>
    </row>
    <row r="2251" spans="1:2" x14ac:dyDescent="0.25">
      <c r="A2251" t="str">
        <v>Abildvej 1, 5400 Bogense</v>
      </c>
      <c r="B2251">
        <v>5444861</v>
      </c>
    </row>
    <row r="2252" spans="1:2" x14ac:dyDescent="0.25">
      <c r="A2252" t="str">
        <v>Vestre Engvej 11, 5400 Bogense</v>
      </c>
      <c r="B2252">
        <v>5444862</v>
      </c>
    </row>
    <row r="2253" spans="1:2" x14ac:dyDescent="0.25">
      <c r="A2253" t="str">
        <v>Vestre Engvej 11, 5400 Bogense</v>
      </c>
      <c r="B2253">
        <v>5444862</v>
      </c>
    </row>
    <row r="2254" spans="1:2" x14ac:dyDescent="0.25">
      <c r="A2254" t="str">
        <v>Vestre Engvej 11, 5400 Bogense</v>
      </c>
      <c r="B2254">
        <v>5444862</v>
      </c>
    </row>
    <row r="2255" spans="1:2" x14ac:dyDescent="0.25">
      <c r="A2255" t="str">
        <v>Vestre Engvej 11, 5400 Bogense</v>
      </c>
      <c r="B2255">
        <v>5444862</v>
      </c>
    </row>
    <row r="2256" spans="1:2" x14ac:dyDescent="0.25">
      <c r="A2256" t="str">
        <v>Vestre Engvej 11, 5400 Bogense</v>
      </c>
      <c r="B2256">
        <v>5444862</v>
      </c>
    </row>
    <row r="2257" spans="1:2" x14ac:dyDescent="0.25">
      <c r="A2257" t="str">
        <v>Vestre Engvej 11, 5400 Bogense</v>
      </c>
      <c r="B2257">
        <v>5444862</v>
      </c>
    </row>
    <row r="2258" spans="1:2" x14ac:dyDescent="0.25">
      <c r="A2258" t="str">
        <v>Vestre Engvej 11, 5400 Bogense</v>
      </c>
      <c r="B2258">
        <v>5444862</v>
      </c>
    </row>
    <row r="2259" spans="1:2" x14ac:dyDescent="0.25">
      <c r="A2259" t="str">
        <v>Vestre Engvej 11, 5400 Bogense</v>
      </c>
      <c r="B2259">
        <v>5444862</v>
      </c>
    </row>
    <row r="2260" spans="1:2" x14ac:dyDescent="0.25">
      <c r="A2260" t="str">
        <v>Vestre Engvej 11, 5400 Bogense</v>
      </c>
      <c r="B2260">
        <v>5444862</v>
      </c>
    </row>
    <row r="2261" spans="1:2" x14ac:dyDescent="0.25">
      <c r="A2261" t="str">
        <v>Vestre Engvej 11, 5400 Bogense</v>
      </c>
      <c r="B2261">
        <v>5444862</v>
      </c>
    </row>
    <row r="2262" spans="1:2" x14ac:dyDescent="0.25">
      <c r="A2262" t="str">
        <v>Vestre Engvej 11, 5400 Bogense</v>
      </c>
      <c r="B2262">
        <v>5444862</v>
      </c>
    </row>
    <row r="2263" spans="1:2" x14ac:dyDescent="0.25">
      <c r="A2263" t="str">
        <v>Vestre Engvej 11, 5400 Bogense</v>
      </c>
      <c r="B2263">
        <v>5444862</v>
      </c>
    </row>
    <row r="2264" spans="1:2" x14ac:dyDescent="0.25">
      <c r="A2264" t="str">
        <v>Vestre Engvej 11, 5400 Bogense</v>
      </c>
      <c r="B2264">
        <v>5444862</v>
      </c>
    </row>
    <row r="2265" spans="1:2" x14ac:dyDescent="0.25">
      <c r="A2265" t="str">
        <v>Vestre Engvej 11, 5400 Bogense</v>
      </c>
      <c r="B2265">
        <v>5444862</v>
      </c>
    </row>
    <row r="2266" spans="1:2" x14ac:dyDescent="0.25">
      <c r="A2266" t="str">
        <v>Vestre Engvej 11, 5400 Bogense</v>
      </c>
      <c r="B2266">
        <v>5444862</v>
      </c>
    </row>
    <row r="2267" spans="1:2" x14ac:dyDescent="0.25">
      <c r="A2267" t="str">
        <v>Vestre Engvej 11, 5400 Bogense</v>
      </c>
      <c r="B2267">
        <v>5444862</v>
      </c>
    </row>
    <row r="2268" spans="1:2" x14ac:dyDescent="0.25">
      <c r="A2268" t="str">
        <v>Vestre Engvej 11, 5400 Bogense</v>
      </c>
      <c r="B2268">
        <v>5444862</v>
      </c>
    </row>
    <row r="2269" spans="1:2" x14ac:dyDescent="0.25">
      <c r="A2269" t="str">
        <v>Vestre Engvej 11, 5400 Bogense</v>
      </c>
      <c r="B2269">
        <v>5444862</v>
      </c>
    </row>
    <row r="2270" spans="1:2" x14ac:dyDescent="0.25">
      <c r="A2270" t="str">
        <v>Vestre Engvej 11, 5400 Bogense</v>
      </c>
      <c r="B2270">
        <v>5444862</v>
      </c>
    </row>
    <row r="2271" spans="1:2" x14ac:dyDescent="0.25">
      <c r="A2271" t="str">
        <v>Vestre Engvej 11, 5400 Bogense</v>
      </c>
      <c r="B2271">
        <v>5444862</v>
      </c>
    </row>
    <row r="2272" spans="1:2" x14ac:dyDescent="0.25">
      <c r="A2272" t="str">
        <v>Vestre Engvej 11, 5400 Bogense</v>
      </c>
      <c r="B2272">
        <v>5444862</v>
      </c>
    </row>
    <row r="2273" spans="1:2" x14ac:dyDescent="0.25">
      <c r="A2273" t="str">
        <v>Vestre Engvej 11, 5400 Bogense</v>
      </c>
      <c r="B2273">
        <v>5444862</v>
      </c>
    </row>
    <row r="2274" spans="1:2" x14ac:dyDescent="0.25">
      <c r="A2274" t="str">
        <v>Vestre Engvej 11, 5400 Bogense</v>
      </c>
      <c r="B2274">
        <v>5444862</v>
      </c>
    </row>
    <row r="2275" spans="1:2" x14ac:dyDescent="0.25">
      <c r="A2275" t="str">
        <v>Vestre Engvej 11, 5400 Bogense</v>
      </c>
      <c r="B2275">
        <v>5444862</v>
      </c>
    </row>
    <row r="2276" spans="1:2" x14ac:dyDescent="0.25">
      <c r="A2276" t="str">
        <v>Vestre Engvej 11, 5400 Bogense</v>
      </c>
      <c r="B2276">
        <v>5444862</v>
      </c>
    </row>
    <row r="2277" spans="1:2" x14ac:dyDescent="0.25">
      <c r="A2277" t="str">
        <v>Odensevej 4, 5400 Bogense</v>
      </c>
      <c r="B2277">
        <v>5444863</v>
      </c>
    </row>
    <row r="2278" spans="1:2" x14ac:dyDescent="0.25">
      <c r="A2278" t="str">
        <v>Odensevej 6, 5400 Bogense</v>
      </c>
      <c r="B2278">
        <v>5444864</v>
      </c>
    </row>
    <row r="2279" spans="1:2" x14ac:dyDescent="0.25">
      <c r="A2279" t="str">
        <v>Odensevej 8, 5400 Bogense</v>
      </c>
      <c r="B2279">
        <v>5444865</v>
      </c>
    </row>
    <row r="2280" spans="1:2" x14ac:dyDescent="0.25">
      <c r="A2280" t="str">
        <v>Odensevej 8, 1., 5400 Bogense</v>
      </c>
      <c r="B2280">
        <v>5444865</v>
      </c>
    </row>
    <row r="2281" spans="1:2" x14ac:dyDescent="0.25">
      <c r="A2281" t="str">
        <v>Odensevej 8, st., 5400 Bogense</v>
      </c>
      <c r="B2281">
        <v>5444865</v>
      </c>
    </row>
    <row r="2282" spans="1:2" x14ac:dyDescent="0.25">
      <c r="A2282" t="str">
        <v>Odensevej 10, 5400 Bogense</v>
      </c>
      <c r="B2282">
        <v>5444867</v>
      </c>
    </row>
    <row r="2283" spans="1:2" x14ac:dyDescent="0.25">
      <c r="A2283" t="str">
        <v>Odensevej 10, 5400 Bogense</v>
      </c>
      <c r="B2283">
        <v>5444867</v>
      </c>
    </row>
    <row r="2284" spans="1:2" x14ac:dyDescent="0.25">
      <c r="A2284" t="str">
        <v>Odensevej 12, 5400 Bogense</v>
      </c>
      <c r="B2284">
        <v>5444867</v>
      </c>
    </row>
    <row r="2285" spans="1:2" x14ac:dyDescent="0.25">
      <c r="A2285" t="str">
        <v>Odensevej 14, 5400 Bogense</v>
      </c>
      <c r="B2285">
        <v>5444867</v>
      </c>
    </row>
    <row r="2286" spans="1:2" x14ac:dyDescent="0.25">
      <c r="A2286" t="str">
        <v>Odensevej 16, 5400 Bogense</v>
      </c>
      <c r="B2286">
        <v>5444867</v>
      </c>
    </row>
    <row r="2287" spans="1:2" x14ac:dyDescent="0.25">
      <c r="A2287" t="str">
        <v>Odensevej 18, 5400 Bogense</v>
      </c>
      <c r="B2287">
        <v>5444867</v>
      </c>
    </row>
    <row r="2288" spans="1:2" x14ac:dyDescent="0.25">
      <c r="A2288" t="str">
        <v>Odensevej 20, 5400 Bogense</v>
      </c>
      <c r="B2288">
        <v>5444867</v>
      </c>
    </row>
    <row r="2289" spans="1:2" x14ac:dyDescent="0.25">
      <c r="A2289" t="str">
        <v>Odensevej 22, 5400 Bogense</v>
      </c>
      <c r="B2289">
        <v>5444867</v>
      </c>
    </row>
    <row r="2290" spans="1:2" x14ac:dyDescent="0.25">
      <c r="A2290" t="str">
        <v>Odensevej 24, 5400 Bogense</v>
      </c>
      <c r="B2290">
        <v>5444867</v>
      </c>
    </row>
    <row r="2291" spans="1:2" x14ac:dyDescent="0.25">
      <c r="A2291" t="str">
        <v>Odensevej 26, 5400 Bogense</v>
      </c>
      <c r="B2291">
        <v>5444867</v>
      </c>
    </row>
    <row r="2292" spans="1:2" x14ac:dyDescent="0.25">
      <c r="A2292" t="str">
        <v>Odensevej 28, 5400 Bogense</v>
      </c>
      <c r="B2292">
        <v>5444867</v>
      </c>
    </row>
    <row r="2293" spans="1:2" x14ac:dyDescent="0.25">
      <c r="A2293" t="str">
        <v>Odensevej 30, 5400 Bogense</v>
      </c>
      <c r="B2293">
        <v>5444867</v>
      </c>
    </row>
    <row r="2294" spans="1:2" x14ac:dyDescent="0.25">
      <c r="A2294" t="str">
        <v>Odensevej 32, 5400 Bogense</v>
      </c>
      <c r="B2294">
        <v>5444867</v>
      </c>
    </row>
    <row r="2295" spans="1:2" x14ac:dyDescent="0.25">
      <c r="A2295" t="str">
        <v>Abildvej 5, 5400 Bogense</v>
      </c>
      <c r="B2295">
        <v>5444868</v>
      </c>
    </row>
    <row r="2296" spans="1:2" x14ac:dyDescent="0.25">
      <c r="A2296" t="str">
        <v>Abildvej 5, st. th, 5400 Bogense</v>
      </c>
      <c r="B2296">
        <v>5444868</v>
      </c>
    </row>
    <row r="2297" spans="1:2" x14ac:dyDescent="0.25">
      <c r="A2297" t="str">
        <v>Abildvej 5, st. tv, 5400 Bogense</v>
      </c>
      <c r="B2297">
        <v>5444868</v>
      </c>
    </row>
    <row r="2298" spans="1:2" x14ac:dyDescent="0.25">
      <c r="A2298" t="str">
        <v>Ved Diget 2, 5400 Bogense</v>
      </c>
      <c r="B2298">
        <v>5444869</v>
      </c>
    </row>
    <row r="2299" spans="1:2" x14ac:dyDescent="0.25">
      <c r="A2299" t="str">
        <v>Odensevej 36, 5400 Bogense</v>
      </c>
      <c r="B2299">
        <v>5444870</v>
      </c>
    </row>
    <row r="2300" spans="1:2" x14ac:dyDescent="0.25">
      <c r="A2300" t="str">
        <v>Odensevej 34A, 5400 Bogense</v>
      </c>
      <c r="B2300">
        <v>5444871</v>
      </c>
    </row>
    <row r="2301" spans="1:2" x14ac:dyDescent="0.25">
      <c r="A2301" t="str">
        <v>Abildvej 4, 5400 Bogense</v>
      </c>
      <c r="B2301">
        <v>5444871</v>
      </c>
    </row>
    <row r="2302" spans="1:2" x14ac:dyDescent="0.25">
      <c r="A2302" t="str">
        <v>Odensevej 34A, kl., 5400 Bogense</v>
      </c>
      <c r="B2302">
        <v>5444871</v>
      </c>
    </row>
    <row r="2303" spans="1:2" x14ac:dyDescent="0.25">
      <c r="A2303" t="str">
        <v>Odensevej 34A, st., 5400 Bogense</v>
      </c>
      <c r="B2303">
        <v>5444871</v>
      </c>
    </row>
    <row r="2304" spans="1:2" x14ac:dyDescent="0.25">
      <c r="A2304" t="str">
        <v>Odensevej 34, 5400 Bogense</v>
      </c>
      <c r="B2304">
        <v>5444872</v>
      </c>
    </row>
    <row r="2305" spans="1:2" x14ac:dyDescent="0.25">
      <c r="A2305" t="str">
        <v>Skovvej 70, 5400 Bogense</v>
      </c>
      <c r="B2305">
        <v>5444877</v>
      </c>
    </row>
    <row r="2306" spans="1:2" x14ac:dyDescent="0.25">
      <c r="A2306">
        <v>0</v>
      </c>
      <c r="B2306">
        <v>5444879</v>
      </c>
    </row>
    <row r="2307" spans="1:2" x14ac:dyDescent="0.25">
      <c r="A2307" t="str">
        <v>Grønnevej 20, 5400 Bogense</v>
      </c>
      <c r="B2307">
        <v>5444887</v>
      </c>
    </row>
    <row r="2308" spans="1:2" x14ac:dyDescent="0.25">
      <c r="A2308" t="str">
        <v>Huggetvej 84, Skovby Nymark, 5400 Bogense</v>
      </c>
      <c r="B2308">
        <v>5444889</v>
      </c>
    </row>
    <row r="2309" spans="1:2" x14ac:dyDescent="0.25">
      <c r="A2309" t="str">
        <v>Stegøvej 102A, 5400 Bogense</v>
      </c>
      <c r="B2309">
        <v>5444890</v>
      </c>
    </row>
    <row r="2310" spans="1:2" x14ac:dyDescent="0.25">
      <c r="A2310">
        <v>0</v>
      </c>
      <c r="B2310">
        <v>5444893</v>
      </c>
    </row>
    <row r="2311" spans="1:2" x14ac:dyDescent="0.25">
      <c r="A2311">
        <v>0</v>
      </c>
      <c r="B2311">
        <v>5444894</v>
      </c>
    </row>
    <row r="2312" spans="1:2" x14ac:dyDescent="0.25">
      <c r="A2312">
        <v>0</v>
      </c>
      <c r="B2312">
        <v>5444896</v>
      </c>
    </row>
    <row r="2313" spans="1:2" x14ac:dyDescent="0.25">
      <c r="A2313">
        <v>0</v>
      </c>
      <c r="B2313">
        <v>5444898</v>
      </c>
    </row>
    <row r="2314" spans="1:2" x14ac:dyDescent="0.25">
      <c r="A2314">
        <v>0</v>
      </c>
      <c r="B2314">
        <v>5444899</v>
      </c>
    </row>
    <row r="2315" spans="1:2" x14ac:dyDescent="0.25">
      <c r="A2315">
        <v>0</v>
      </c>
      <c r="B2315">
        <v>5444900</v>
      </c>
    </row>
    <row r="2316" spans="1:2" x14ac:dyDescent="0.25">
      <c r="A2316">
        <v>0</v>
      </c>
      <c r="B2316">
        <v>5444901</v>
      </c>
    </row>
    <row r="2317" spans="1:2" x14ac:dyDescent="0.25">
      <c r="A2317">
        <v>0</v>
      </c>
      <c r="B2317">
        <v>5444902</v>
      </c>
    </row>
    <row r="2318" spans="1:2" x14ac:dyDescent="0.25">
      <c r="A2318">
        <v>0</v>
      </c>
      <c r="B2318">
        <v>5444903</v>
      </c>
    </row>
    <row r="2319" spans="1:2" x14ac:dyDescent="0.25">
      <c r="A2319">
        <v>0</v>
      </c>
      <c r="B2319">
        <v>5444904</v>
      </c>
    </row>
    <row r="2320" spans="1:2" x14ac:dyDescent="0.25">
      <c r="A2320">
        <v>0</v>
      </c>
      <c r="B2320">
        <v>5444905</v>
      </c>
    </row>
    <row r="2321" spans="1:2" x14ac:dyDescent="0.25">
      <c r="A2321">
        <v>0</v>
      </c>
      <c r="B2321">
        <v>5444906</v>
      </c>
    </row>
    <row r="2322" spans="1:2" x14ac:dyDescent="0.25">
      <c r="A2322">
        <v>0</v>
      </c>
      <c r="B2322">
        <v>5444908</v>
      </c>
    </row>
    <row r="2323" spans="1:2" x14ac:dyDescent="0.25">
      <c r="A2323">
        <v>0</v>
      </c>
      <c r="B2323">
        <v>5444909</v>
      </c>
    </row>
    <row r="2324" spans="1:2" x14ac:dyDescent="0.25">
      <c r="A2324">
        <v>0</v>
      </c>
      <c r="B2324">
        <v>5444910</v>
      </c>
    </row>
    <row r="2325" spans="1:2" x14ac:dyDescent="0.25">
      <c r="A2325">
        <v>0</v>
      </c>
      <c r="B2325">
        <v>5444911</v>
      </c>
    </row>
    <row r="2326" spans="1:2" x14ac:dyDescent="0.25">
      <c r="A2326">
        <v>0</v>
      </c>
      <c r="B2326">
        <v>5444912</v>
      </c>
    </row>
    <row r="2327" spans="1:2" x14ac:dyDescent="0.25">
      <c r="A2327">
        <v>0</v>
      </c>
      <c r="B2327">
        <v>5444913</v>
      </c>
    </row>
    <row r="2328" spans="1:2" x14ac:dyDescent="0.25">
      <c r="A2328">
        <v>0</v>
      </c>
      <c r="B2328">
        <v>5444914</v>
      </c>
    </row>
    <row r="2329" spans="1:2" x14ac:dyDescent="0.25">
      <c r="A2329">
        <v>0</v>
      </c>
      <c r="B2329">
        <v>5444915</v>
      </c>
    </row>
    <row r="2330" spans="1:2" x14ac:dyDescent="0.25">
      <c r="A2330">
        <v>0</v>
      </c>
      <c r="B2330">
        <v>5444916</v>
      </c>
    </row>
    <row r="2331" spans="1:2" x14ac:dyDescent="0.25">
      <c r="A2331">
        <v>0</v>
      </c>
      <c r="B2331">
        <v>5444917</v>
      </c>
    </row>
    <row r="2332" spans="1:2" x14ac:dyDescent="0.25">
      <c r="A2332">
        <v>0</v>
      </c>
      <c r="B2332">
        <v>5444918</v>
      </c>
    </row>
    <row r="2333" spans="1:2" x14ac:dyDescent="0.25">
      <c r="A2333">
        <v>0</v>
      </c>
      <c r="B2333">
        <v>5444919</v>
      </c>
    </row>
    <row r="2334" spans="1:2" x14ac:dyDescent="0.25">
      <c r="A2334" t="str">
        <v>Bellisvej 65A, 5400 Bogense</v>
      </c>
      <c r="B2334">
        <v>5444920</v>
      </c>
    </row>
    <row r="2335" spans="1:2" x14ac:dyDescent="0.25">
      <c r="A2335">
        <v>0</v>
      </c>
      <c r="B2335">
        <v>5444921</v>
      </c>
    </row>
    <row r="2336" spans="1:2" x14ac:dyDescent="0.25">
      <c r="A2336">
        <v>0</v>
      </c>
      <c r="B2336">
        <v>5444922</v>
      </c>
    </row>
    <row r="2337" spans="1:2" x14ac:dyDescent="0.25">
      <c r="A2337">
        <v>0</v>
      </c>
      <c r="B2337">
        <v>5444923</v>
      </c>
    </row>
    <row r="2338" spans="1:2" x14ac:dyDescent="0.25">
      <c r="A2338">
        <v>0</v>
      </c>
      <c r="B2338">
        <v>5444924</v>
      </c>
    </row>
    <row r="2339" spans="1:2" x14ac:dyDescent="0.25">
      <c r="A2339">
        <v>0</v>
      </c>
      <c r="B2339">
        <v>5444925</v>
      </c>
    </row>
    <row r="2340" spans="1:2" x14ac:dyDescent="0.25">
      <c r="A2340">
        <v>0</v>
      </c>
      <c r="B2340">
        <v>5444926</v>
      </c>
    </row>
    <row r="2341" spans="1:2" x14ac:dyDescent="0.25">
      <c r="A2341">
        <v>0</v>
      </c>
      <c r="B2341">
        <v>5444927</v>
      </c>
    </row>
    <row r="2342" spans="1:2" x14ac:dyDescent="0.25">
      <c r="A2342">
        <v>0</v>
      </c>
      <c r="B2342">
        <v>5444928</v>
      </c>
    </row>
    <row r="2343" spans="1:2" x14ac:dyDescent="0.25">
      <c r="A2343">
        <v>0</v>
      </c>
      <c r="B2343">
        <v>5444929</v>
      </c>
    </row>
    <row r="2344" spans="1:2" x14ac:dyDescent="0.25">
      <c r="A2344">
        <v>0</v>
      </c>
      <c r="B2344">
        <v>5444930</v>
      </c>
    </row>
    <row r="2345" spans="1:2" x14ac:dyDescent="0.25">
      <c r="A2345">
        <v>0</v>
      </c>
      <c r="B2345">
        <v>5444931</v>
      </c>
    </row>
    <row r="2346" spans="1:2" x14ac:dyDescent="0.25">
      <c r="A2346">
        <v>0</v>
      </c>
      <c r="B2346">
        <v>5444932</v>
      </c>
    </row>
    <row r="2347" spans="1:2" x14ac:dyDescent="0.25">
      <c r="A2347">
        <v>0</v>
      </c>
      <c r="B2347">
        <v>5444933</v>
      </c>
    </row>
    <row r="2348" spans="1:2" x14ac:dyDescent="0.25">
      <c r="A2348" t="str">
        <v>Vestergade 2, st. tv, 5400 Bogense</v>
      </c>
      <c r="B2348">
        <v>288523</v>
      </c>
    </row>
    <row r="2349" spans="1:2" x14ac:dyDescent="0.25">
      <c r="A2349" t="str">
        <v>Vestergade 4, 1. th, 5400 Bogense</v>
      </c>
      <c r="B2349">
        <v>288524</v>
      </c>
    </row>
    <row r="2350" spans="1:2" x14ac:dyDescent="0.25">
      <c r="A2350" t="str">
        <v>Vestergade 4, 2. tv, 5400 Bogense</v>
      </c>
      <c r="B2350">
        <v>288525</v>
      </c>
    </row>
    <row r="2351" spans="1:2" x14ac:dyDescent="0.25">
      <c r="A2351" t="str">
        <v>Vestergade 4, 2. th, 5400 Bogense</v>
      </c>
      <c r="B2351">
        <v>288526</v>
      </c>
    </row>
    <row r="2352" spans="1:2" x14ac:dyDescent="0.25">
      <c r="A2352" t="str">
        <v>Vestergade 6, st. tv, 5400 Bogense</v>
      </c>
      <c r="B2352">
        <v>288527</v>
      </c>
    </row>
    <row r="2353" spans="1:2" x14ac:dyDescent="0.25">
      <c r="A2353" t="str">
        <v>Vestergade 6, st. th, 5400 Bogense</v>
      </c>
      <c r="B2353">
        <v>288528</v>
      </c>
    </row>
    <row r="2354" spans="1:2" x14ac:dyDescent="0.25">
      <c r="A2354" t="str">
        <v>Vestergade 6, 1. tv, 5400 Bogense</v>
      </c>
      <c r="B2354">
        <v>288529</v>
      </c>
    </row>
    <row r="2355" spans="1:2" x14ac:dyDescent="0.25">
      <c r="A2355" t="str">
        <v>Vestergade 6, 1. th, 5400 Bogense</v>
      </c>
      <c r="B2355">
        <v>288530</v>
      </c>
    </row>
    <row r="2356" spans="1:2" x14ac:dyDescent="0.25">
      <c r="A2356" t="str">
        <v>Vestergade 6, 2. tv, 5400 Bogense</v>
      </c>
      <c r="B2356">
        <v>288531</v>
      </c>
    </row>
    <row r="2357" spans="1:2" x14ac:dyDescent="0.25">
      <c r="A2357" t="str">
        <v>Vestergade 6, 2. th, 5400 Bogense</v>
      </c>
      <c r="B2357">
        <v>288532</v>
      </c>
    </row>
    <row r="2358" spans="1:2" x14ac:dyDescent="0.25">
      <c r="A2358" t="str">
        <v>Vestergade 2, st. th, 5400 Bogense</v>
      </c>
      <c r="B2358">
        <v>288533</v>
      </c>
    </row>
    <row r="2359" spans="1:2" x14ac:dyDescent="0.25">
      <c r="A2359" t="str">
        <v>Vestergade 2, 1. tv, 5400 Bogense</v>
      </c>
      <c r="B2359">
        <v>288534</v>
      </c>
    </row>
    <row r="2360" spans="1:2" x14ac:dyDescent="0.25">
      <c r="A2360" t="str">
        <v>Vestergade 2, 1. th, 5400 Bogense</v>
      </c>
      <c r="B2360">
        <v>288535</v>
      </c>
    </row>
    <row r="2361" spans="1:2" x14ac:dyDescent="0.25">
      <c r="A2361" t="str">
        <v>Vestergade 2, 2. tv, 5400 Bogense</v>
      </c>
      <c r="B2361">
        <v>288536</v>
      </c>
    </row>
    <row r="2362" spans="1:2" x14ac:dyDescent="0.25">
      <c r="A2362" t="str">
        <v>Vestergade 2, 2. th, 5400 Bogense</v>
      </c>
      <c r="B2362">
        <v>288537</v>
      </c>
    </row>
    <row r="2363" spans="1:2" x14ac:dyDescent="0.25">
      <c r="A2363" t="str">
        <v>Vestergade 4, st. tv, 5400 Bogense</v>
      </c>
      <c r="B2363">
        <v>288538</v>
      </c>
    </row>
    <row r="2364" spans="1:2" x14ac:dyDescent="0.25">
      <c r="A2364" t="str">
        <v>Vestergade 4, st. th, 5400 Bogense</v>
      </c>
      <c r="B2364">
        <v>288539</v>
      </c>
    </row>
    <row r="2365" spans="1:2" x14ac:dyDescent="0.25">
      <c r="A2365" t="str">
        <v>Vestergade 4, 1. tv, 5400 Bogense</v>
      </c>
      <c r="B2365">
        <v>288540</v>
      </c>
    </row>
    <row r="2366" spans="1:2" x14ac:dyDescent="0.25">
      <c r="A2366" t="str">
        <v>Vestergade 2, 5400 Bogense</v>
      </c>
      <c r="B2366">
        <v>5444960</v>
      </c>
    </row>
    <row r="2367" spans="1:2" x14ac:dyDescent="0.25">
      <c r="A2367" t="str">
        <v>Vestergade 22, 5400 Bogense</v>
      </c>
      <c r="B2367">
        <v>5444961</v>
      </c>
    </row>
    <row r="2368" spans="1:2" x14ac:dyDescent="0.25">
      <c r="A2368" t="str">
        <v>Bognæs 15, 5400 Bogense</v>
      </c>
      <c r="B2368">
        <v>5444962</v>
      </c>
    </row>
    <row r="2369" spans="1:2" x14ac:dyDescent="0.25">
      <c r="A2369" t="str">
        <v>Bognæs 1, 5400 Bogense</v>
      </c>
      <c r="B2369">
        <v>5444962</v>
      </c>
    </row>
    <row r="2370" spans="1:2" x14ac:dyDescent="0.25">
      <c r="A2370" t="str">
        <v>Bognæs 11, 5400 Bogense</v>
      </c>
      <c r="B2370">
        <v>5444962</v>
      </c>
    </row>
    <row r="2371" spans="1:2" x14ac:dyDescent="0.25">
      <c r="A2371" t="str">
        <v>Bognæs 13, 5400 Bogense</v>
      </c>
      <c r="B2371">
        <v>5444962</v>
      </c>
    </row>
    <row r="2372" spans="1:2" x14ac:dyDescent="0.25">
      <c r="A2372" t="str">
        <v>Bognæs 15, 5400 Bogense</v>
      </c>
      <c r="B2372">
        <v>5444962</v>
      </c>
    </row>
    <row r="2373" spans="1:2" x14ac:dyDescent="0.25">
      <c r="A2373" t="str">
        <v>Bognæs 15, 5400 Bogense</v>
      </c>
      <c r="B2373">
        <v>5444962</v>
      </c>
    </row>
    <row r="2374" spans="1:2" x14ac:dyDescent="0.25">
      <c r="A2374" t="str">
        <v>Bognæs 17, 5400 Bogense</v>
      </c>
      <c r="B2374">
        <v>5444962</v>
      </c>
    </row>
    <row r="2375" spans="1:2" x14ac:dyDescent="0.25">
      <c r="A2375" t="str">
        <v>Bognæs 19, 5400 Bogense</v>
      </c>
      <c r="B2375">
        <v>5444962</v>
      </c>
    </row>
    <row r="2376" spans="1:2" x14ac:dyDescent="0.25">
      <c r="A2376" t="str">
        <v>Bognæs 21, 5400 Bogense</v>
      </c>
      <c r="B2376">
        <v>5444962</v>
      </c>
    </row>
    <row r="2377" spans="1:2" x14ac:dyDescent="0.25">
      <c r="A2377" t="str">
        <v>Bognæs 23, 5400 Bogense</v>
      </c>
      <c r="B2377">
        <v>5444962</v>
      </c>
    </row>
    <row r="2378" spans="1:2" x14ac:dyDescent="0.25">
      <c r="A2378" t="str">
        <v>Bognæs 25, 5400 Bogense</v>
      </c>
      <c r="B2378">
        <v>5444962</v>
      </c>
    </row>
    <row r="2379" spans="1:2" x14ac:dyDescent="0.25">
      <c r="A2379" t="str">
        <v>Bognæs 27, 5400 Bogense</v>
      </c>
      <c r="B2379">
        <v>5444962</v>
      </c>
    </row>
    <row r="2380" spans="1:2" x14ac:dyDescent="0.25">
      <c r="A2380" t="str">
        <v>Bognæs 29, 5400 Bogense</v>
      </c>
      <c r="B2380">
        <v>5444962</v>
      </c>
    </row>
    <row r="2381" spans="1:2" x14ac:dyDescent="0.25">
      <c r="A2381" t="str">
        <v>Bognæs 3, 5400 Bogense</v>
      </c>
      <c r="B2381">
        <v>5444962</v>
      </c>
    </row>
    <row r="2382" spans="1:2" x14ac:dyDescent="0.25">
      <c r="A2382" t="str">
        <v>Bognæs 31, 5400 Bogense</v>
      </c>
      <c r="B2382">
        <v>5444962</v>
      </c>
    </row>
    <row r="2383" spans="1:2" x14ac:dyDescent="0.25">
      <c r="A2383" t="str">
        <v>Bognæs 33, 5400 Bogense</v>
      </c>
      <c r="B2383">
        <v>5444962</v>
      </c>
    </row>
    <row r="2384" spans="1:2" x14ac:dyDescent="0.25">
      <c r="A2384" t="str">
        <v>Bognæs 35, 5400 Bogense</v>
      </c>
      <c r="B2384">
        <v>5444962</v>
      </c>
    </row>
    <row r="2385" spans="1:2" x14ac:dyDescent="0.25">
      <c r="A2385" t="str">
        <v>Bognæs 37, 5400 Bogense</v>
      </c>
      <c r="B2385">
        <v>5444962</v>
      </c>
    </row>
    <row r="2386" spans="1:2" x14ac:dyDescent="0.25">
      <c r="A2386" t="str">
        <v>Bognæs 39, 5400 Bogense</v>
      </c>
      <c r="B2386">
        <v>5444962</v>
      </c>
    </row>
    <row r="2387" spans="1:2" x14ac:dyDescent="0.25">
      <c r="A2387" t="str">
        <v>Bognæs 41, 5400 Bogense</v>
      </c>
      <c r="B2387">
        <v>5444962</v>
      </c>
    </row>
    <row r="2388" spans="1:2" x14ac:dyDescent="0.25">
      <c r="A2388" t="str">
        <v>Bognæs 43, 5400 Bogense</v>
      </c>
      <c r="B2388">
        <v>5444962</v>
      </c>
    </row>
    <row r="2389" spans="1:2" x14ac:dyDescent="0.25">
      <c r="A2389" t="str">
        <v>Bognæs 45, 5400 Bogense</v>
      </c>
      <c r="B2389">
        <v>5444962</v>
      </c>
    </row>
    <row r="2390" spans="1:2" x14ac:dyDescent="0.25">
      <c r="A2390" t="str">
        <v>Bognæs 47, 5400 Bogense</v>
      </c>
      <c r="B2390">
        <v>5444962</v>
      </c>
    </row>
    <row r="2391" spans="1:2" x14ac:dyDescent="0.25">
      <c r="A2391" t="str">
        <v>Bognæs 5, 5400 Bogense</v>
      </c>
      <c r="B2391">
        <v>5444962</v>
      </c>
    </row>
    <row r="2392" spans="1:2" x14ac:dyDescent="0.25">
      <c r="A2392" t="str">
        <v>Bognæs 5A, 5400 Bogense</v>
      </c>
      <c r="B2392">
        <v>5444962</v>
      </c>
    </row>
    <row r="2393" spans="1:2" x14ac:dyDescent="0.25">
      <c r="A2393" t="str">
        <v>Bognæs 5B, 5400 Bogense</v>
      </c>
      <c r="B2393">
        <v>5444962</v>
      </c>
    </row>
    <row r="2394" spans="1:2" x14ac:dyDescent="0.25">
      <c r="A2394" t="str">
        <v>Bognæs 7, 5400 Bogense</v>
      </c>
      <c r="B2394">
        <v>5444962</v>
      </c>
    </row>
    <row r="2395" spans="1:2" x14ac:dyDescent="0.25">
      <c r="A2395" t="str">
        <v>Bognæs 9, 5400 Bogense</v>
      </c>
      <c r="B2395">
        <v>5444962</v>
      </c>
    </row>
    <row r="2396" spans="1:2" x14ac:dyDescent="0.25">
      <c r="A2396" t="str">
        <v>Vestre Engvej 1, 5400 Bogense</v>
      </c>
      <c r="B2396">
        <v>5444963</v>
      </c>
    </row>
    <row r="2397" spans="1:2" x14ac:dyDescent="0.25">
      <c r="A2397" t="str">
        <v>Vestre Engvej 3, 5400 Bogense</v>
      </c>
      <c r="B2397">
        <v>5444964</v>
      </c>
    </row>
    <row r="2398" spans="1:2" x14ac:dyDescent="0.25">
      <c r="A2398">
        <v>0</v>
      </c>
      <c r="B2398">
        <v>5444981</v>
      </c>
    </row>
    <row r="2399" spans="1:2" x14ac:dyDescent="0.25">
      <c r="A2399">
        <v>0</v>
      </c>
      <c r="B2399">
        <v>5444982</v>
      </c>
    </row>
    <row r="2400" spans="1:2" x14ac:dyDescent="0.25">
      <c r="A2400" t="str">
        <v>Strandvej 15, 5400 Bogense</v>
      </c>
      <c r="B2400">
        <v>5444984</v>
      </c>
    </row>
    <row r="2401" spans="1:2" x14ac:dyDescent="0.25">
      <c r="A2401">
        <v>0</v>
      </c>
      <c r="B2401">
        <v>5445000</v>
      </c>
    </row>
    <row r="2402" spans="1:2" x14ac:dyDescent="0.25">
      <c r="A2402" t="str">
        <v>Oslovej 15, 5400 Bogense</v>
      </c>
      <c r="B2402">
        <v>5445003</v>
      </c>
    </row>
    <row r="2403" spans="1:2" x14ac:dyDescent="0.25">
      <c r="A2403" t="str">
        <v>Oslovej 9, 5400 Bogense</v>
      </c>
      <c r="B2403">
        <v>5445004</v>
      </c>
    </row>
    <row r="2404" spans="1:2" x14ac:dyDescent="0.25">
      <c r="A2404">
        <v>0</v>
      </c>
      <c r="B2404">
        <v>5445006</v>
      </c>
    </row>
    <row r="2405" spans="1:2" x14ac:dyDescent="0.25">
      <c r="A2405">
        <v>0</v>
      </c>
      <c r="B2405">
        <v>5445015</v>
      </c>
    </row>
    <row r="2406" spans="1:2" x14ac:dyDescent="0.25">
      <c r="A2406">
        <v>0</v>
      </c>
      <c r="B2406">
        <v>5445017</v>
      </c>
    </row>
    <row r="2407" spans="1:2" x14ac:dyDescent="0.25">
      <c r="A2407">
        <v>0</v>
      </c>
      <c r="B2407">
        <v>5445019</v>
      </c>
    </row>
    <row r="2408" spans="1:2" x14ac:dyDescent="0.25">
      <c r="A2408">
        <v>0</v>
      </c>
      <c r="B2408">
        <v>5445022</v>
      </c>
    </row>
    <row r="2409" spans="1:2" x14ac:dyDescent="0.25">
      <c r="A2409">
        <v>0</v>
      </c>
      <c r="B2409">
        <v>5445024</v>
      </c>
    </row>
    <row r="2410" spans="1:2" x14ac:dyDescent="0.25">
      <c r="A2410">
        <v>0</v>
      </c>
      <c r="B2410">
        <v>5445026</v>
      </c>
    </row>
    <row r="2411" spans="1:2" x14ac:dyDescent="0.25">
      <c r="A2411">
        <v>0</v>
      </c>
      <c r="B2411">
        <v>5445029</v>
      </c>
    </row>
    <row r="2412" spans="1:2" x14ac:dyDescent="0.25">
      <c r="A2412" t="str">
        <v>Gyldensteensvej 99, 5400 Bogense</v>
      </c>
      <c r="B2412">
        <v>5445050</v>
      </c>
    </row>
    <row r="2413" spans="1:2" x14ac:dyDescent="0.25">
      <c r="A2413" t="str">
        <v>Gyldensteensvej 83, 5400 Bogense</v>
      </c>
      <c r="B2413">
        <v>5445057</v>
      </c>
    </row>
    <row r="2414" spans="1:2" x14ac:dyDescent="0.25">
      <c r="A2414" t="str">
        <v>Gyldensteensvej 79A, 5400 Bogense</v>
      </c>
      <c r="B2414">
        <v>5445059</v>
      </c>
    </row>
    <row r="2415" spans="1:2" x14ac:dyDescent="0.25">
      <c r="A2415" t="str">
        <v>Stegøvej 38, Østerø, 5400 Bogense</v>
      </c>
      <c r="B2415">
        <v>5445060</v>
      </c>
    </row>
    <row r="2416" spans="1:2" x14ac:dyDescent="0.25">
      <c r="A2416" t="str">
        <v>Gyldensteensvej 85, 5400 Bogense</v>
      </c>
      <c r="B2416">
        <v>5445061</v>
      </c>
    </row>
    <row r="2417" spans="1:2" x14ac:dyDescent="0.25">
      <c r="A2417">
        <v>0</v>
      </c>
      <c r="B2417">
        <v>5445066</v>
      </c>
    </row>
    <row r="2418" spans="1:2" x14ac:dyDescent="0.25">
      <c r="A2418">
        <v>0</v>
      </c>
      <c r="B2418">
        <v>5445067</v>
      </c>
    </row>
    <row r="2419" spans="1:2" x14ac:dyDescent="0.25">
      <c r="A2419">
        <v>0</v>
      </c>
      <c r="B2419">
        <v>5445068</v>
      </c>
    </row>
    <row r="2420" spans="1:2" x14ac:dyDescent="0.25">
      <c r="A2420">
        <v>0</v>
      </c>
      <c r="B2420">
        <v>5445069</v>
      </c>
    </row>
    <row r="2421" spans="1:2" x14ac:dyDescent="0.25">
      <c r="A2421">
        <v>0</v>
      </c>
      <c r="B2421">
        <v>5445070</v>
      </c>
    </row>
    <row r="2422" spans="1:2" x14ac:dyDescent="0.25">
      <c r="A2422">
        <v>0</v>
      </c>
      <c r="B2422">
        <v>5445071</v>
      </c>
    </row>
    <row r="2423" spans="1:2" x14ac:dyDescent="0.25">
      <c r="A2423">
        <v>0</v>
      </c>
      <c r="B2423">
        <v>5445072</v>
      </c>
    </row>
    <row r="2424" spans="1:2" x14ac:dyDescent="0.25">
      <c r="A2424">
        <v>0</v>
      </c>
      <c r="B2424">
        <v>5445073</v>
      </c>
    </row>
    <row r="2425" spans="1:2" x14ac:dyDescent="0.25">
      <c r="A2425">
        <v>0</v>
      </c>
      <c r="B2425">
        <v>5445074</v>
      </c>
    </row>
    <row r="2426" spans="1:2" x14ac:dyDescent="0.25">
      <c r="A2426" t="str">
        <v>Torvet 18, 5400 Bogense</v>
      </c>
      <c r="B2426">
        <v>7007493</v>
      </c>
    </row>
    <row r="2427" spans="1:2" x14ac:dyDescent="0.25">
      <c r="A2427" t="str">
        <v>Adelgade 93A, 5400 Bogense</v>
      </c>
      <c r="B2427">
        <v>7138501</v>
      </c>
    </row>
    <row r="2428" spans="1:2" x14ac:dyDescent="0.25">
      <c r="A2428" t="str">
        <v>Adelgade 93A, 1. th, 5400 Bogense</v>
      </c>
      <c r="B2428">
        <v>7138501</v>
      </c>
    </row>
    <row r="2429" spans="1:2" x14ac:dyDescent="0.25">
      <c r="A2429" t="str">
        <v>Adelgade 93A, 1. tv, 5400 Bogense</v>
      </c>
      <c r="B2429">
        <v>7138501</v>
      </c>
    </row>
    <row r="2430" spans="1:2" x14ac:dyDescent="0.25">
      <c r="A2430" t="str">
        <v>Adelgade 93A, 2., 5400 Bogense</v>
      </c>
      <c r="B2430">
        <v>7138501</v>
      </c>
    </row>
    <row r="2431" spans="1:2" x14ac:dyDescent="0.25">
      <c r="A2431" t="str">
        <v>Adelgade 93A, st. th, 5400 Bogense</v>
      </c>
      <c r="B2431">
        <v>7138501</v>
      </c>
    </row>
    <row r="2432" spans="1:2" x14ac:dyDescent="0.25">
      <c r="A2432" t="str">
        <v>Adelgade 93A, st. tv, 5400 Bogense</v>
      </c>
      <c r="B2432">
        <v>7138501</v>
      </c>
    </row>
    <row r="2433" spans="1:2" x14ac:dyDescent="0.25">
      <c r="A2433" t="str">
        <v>Adelgade 93B, 1. th, 5400 Bogense</v>
      </c>
      <c r="B2433">
        <v>7138501</v>
      </c>
    </row>
    <row r="2434" spans="1:2" x14ac:dyDescent="0.25">
      <c r="A2434" t="str">
        <v>Adelgade 93B, 1. tv, 5400 Bogense</v>
      </c>
      <c r="B2434">
        <v>7138501</v>
      </c>
    </row>
    <row r="2435" spans="1:2" x14ac:dyDescent="0.25">
      <c r="A2435" t="str">
        <v>Adelgade 93B, 2., 5400 Bogense</v>
      </c>
      <c r="B2435">
        <v>7138501</v>
      </c>
    </row>
    <row r="2436" spans="1:2" x14ac:dyDescent="0.25">
      <c r="A2436" t="str">
        <v>Adelgade 93B, st. th, 5400 Bogense</v>
      </c>
      <c r="B2436">
        <v>7138501</v>
      </c>
    </row>
    <row r="2437" spans="1:2" x14ac:dyDescent="0.25">
      <c r="A2437" t="str">
        <v>Adelgade 93B, st. tv, 5400 Bogense</v>
      </c>
      <c r="B2437">
        <v>7138501</v>
      </c>
    </row>
    <row r="2438" spans="1:2" x14ac:dyDescent="0.25">
      <c r="A2438" t="str">
        <v>Skovvej 18, 1., 5400 Bogense</v>
      </c>
      <c r="B2438">
        <v>7138501</v>
      </c>
    </row>
    <row r="2439" spans="1:2" x14ac:dyDescent="0.25">
      <c r="A2439" t="str">
        <v>Skovvej 18, st., 5400 Bogense</v>
      </c>
      <c r="B2439">
        <v>7138501</v>
      </c>
    </row>
    <row r="2440" spans="1:2" x14ac:dyDescent="0.25">
      <c r="A2440" t="str">
        <v>Skovvej 20, 1., 5400 Bogense</v>
      </c>
      <c r="B2440">
        <v>7138501</v>
      </c>
    </row>
    <row r="2441" spans="1:2" x14ac:dyDescent="0.25">
      <c r="A2441" t="str">
        <v>Skovvej 20, st., 5400 Bogense</v>
      </c>
      <c r="B2441">
        <v>7138501</v>
      </c>
    </row>
    <row r="2442" spans="1:2" x14ac:dyDescent="0.25">
      <c r="A2442" t="str">
        <v>Skovvej 22, 1., 5400 Bogense</v>
      </c>
      <c r="B2442">
        <v>7138501</v>
      </c>
    </row>
    <row r="2443" spans="1:2" x14ac:dyDescent="0.25">
      <c r="A2443" t="str">
        <v>Skovvej 22, st., 5400 Bogense</v>
      </c>
      <c r="B2443">
        <v>7138501</v>
      </c>
    </row>
    <row r="2444" spans="1:2" x14ac:dyDescent="0.25">
      <c r="A2444" t="str">
        <v>Skovvej 24, 5400 Bogense</v>
      </c>
      <c r="B2444">
        <v>7138501</v>
      </c>
    </row>
    <row r="2445" spans="1:2" x14ac:dyDescent="0.25">
      <c r="A2445" t="str">
        <v>Skovvej 26A, 1., 5400 Bogense</v>
      </c>
      <c r="B2445">
        <v>7138501</v>
      </c>
    </row>
    <row r="2446" spans="1:2" x14ac:dyDescent="0.25">
      <c r="A2446" t="str">
        <v>Skovvej 26A, st., 5400 Bogense</v>
      </c>
      <c r="B2446">
        <v>7138501</v>
      </c>
    </row>
    <row r="2447" spans="1:2" x14ac:dyDescent="0.25">
      <c r="A2447" t="str">
        <v>Skovvej 26B, 1., 5400 Bogense</v>
      </c>
      <c r="B2447">
        <v>7138501</v>
      </c>
    </row>
    <row r="2448" spans="1:2" x14ac:dyDescent="0.25">
      <c r="A2448" t="str">
        <v>Skovvej 26B, st., 5400 Bogense</v>
      </c>
      <c r="B2448">
        <v>7138501</v>
      </c>
    </row>
    <row r="2449" spans="1:2" x14ac:dyDescent="0.25">
      <c r="A2449" t="str">
        <v>Skovvej 26C, 5400 Bogense</v>
      </c>
      <c r="B2449">
        <v>7138501</v>
      </c>
    </row>
    <row r="2450" spans="1:2" x14ac:dyDescent="0.25">
      <c r="A2450" t="str">
        <v>Skovvej 26D, 1. th, 5400 Bogense</v>
      </c>
      <c r="B2450">
        <v>7138501</v>
      </c>
    </row>
    <row r="2451" spans="1:2" x14ac:dyDescent="0.25">
      <c r="A2451" t="str">
        <v>Skovvej 26D, 1. tv, 5400 Bogense</v>
      </c>
      <c r="B2451">
        <v>7138501</v>
      </c>
    </row>
    <row r="2452" spans="1:2" x14ac:dyDescent="0.25">
      <c r="A2452" t="str">
        <v>Skovvej 26E, 5400 Bogense</v>
      </c>
      <c r="B2452">
        <v>7138501</v>
      </c>
    </row>
    <row r="2453" spans="1:2" x14ac:dyDescent="0.25">
      <c r="A2453" t="str">
        <v>Skovvej 26F, 5400 Bogense</v>
      </c>
      <c r="B2453">
        <v>7138501</v>
      </c>
    </row>
    <row r="2454" spans="1:2" x14ac:dyDescent="0.25">
      <c r="A2454" t="str">
        <v>Skovvej 26G, 5400 Bogense</v>
      </c>
      <c r="B2454">
        <v>7138501</v>
      </c>
    </row>
    <row r="2455" spans="1:2" x14ac:dyDescent="0.25">
      <c r="A2455" t="str">
        <v>Skovvej 26H, 5400 Bogense</v>
      </c>
      <c r="B2455">
        <v>7138501</v>
      </c>
    </row>
    <row r="2456" spans="1:2" x14ac:dyDescent="0.25">
      <c r="A2456" t="str">
        <v>Skovvej 26I, 1. th, 5400 Bogense</v>
      </c>
      <c r="B2456">
        <v>7138501</v>
      </c>
    </row>
    <row r="2457" spans="1:2" x14ac:dyDescent="0.25">
      <c r="A2457" t="str">
        <v>Skovvej 26I, 1. tv, 5400 Bogense</v>
      </c>
      <c r="B2457">
        <v>7138501</v>
      </c>
    </row>
    <row r="2458" spans="1:2" x14ac:dyDescent="0.25">
      <c r="A2458" t="str">
        <v>Skovvej 26I, st. th, 5400 Bogense</v>
      </c>
      <c r="B2458">
        <v>7138501</v>
      </c>
    </row>
    <row r="2459" spans="1:2" x14ac:dyDescent="0.25">
      <c r="A2459" t="str">
        <v>Skovvej 26I, st. tv, 5400 Bogense</v>
      </c>
      <c r="B2459">
        <v>7138501</v>
      </c>
    </row>
    <row r="2460" spans="1:2" x14ac:dyDescent="0.25">
      <c r="A2460" t="str">
        <v>Nyhave 10, Nyhave, 5400 Bogense</v>
      </c>
      <c r="B2460">
        <v>7329936</v>
      </c>
    </row>
    <row r="2461" spans="1:2" x14ac:dyDescent="0.25">
      <c r="A2461" t="str">
        <v>Fælledvej 53, Harritslev F, 5400 Bogense</v>
      </c>
      <c r="B2461">
        <v>7374602</v>
      </c>
    </row>
    <row r="2462" spans="1:2" x14ac:dyDescent="0.25">
      <c r="A2462" t="str">
        <v>Huggetvej 37, Bogense Mark, 5400 Bogense</v>
      </c>
      <c r="B2462">
        <v>7398729</v>
      </c>
    </row>
    <row r="2463" spans="1:2" x14ac:dyDescent="0.25">
      <c r="A2463" t="str">
        <v>Huggetvej 37, st. th, Bogense Mark, 5400 Bogense</v>
      </c>
      <c r="B2463">
        <v>7398729</v>
      </c>
    </row>
    <row r="2464" spans="1:2" x14ac:dyDescent="0.25">
      <c r="A2464" t="str">
        <v>Huggetvej 37, st. th, Bogense Mark, 5400 Bogense</v>
      </c>
      <c r="B2464">
        <v>7398729</v>
      </c>
    </row>
    <row r="2465" spans="1:2" x14ac:dyDescent="0.25">
      <c r="A2465" t="str">
        <v>Huggetvej 37, st. tv, Bogense Mark, 5400 Bogense</v>
      </c>
      <c r="B2465">
        <v>7398729</v>
      </c>
    </row>
    <row r="2466" spans="1:2" x14ac:dyDescent="0.25">
      <c r="A2466" t="str">
        <v>Huggetvej 36, Gungerne, 5400 Bogense</v>
      </c>
      <c r="B2466">
        <v>7398731</v>
      </c>
    </row>
    <row r="2467" spans="1:2" x14ac:dyDescent="0.25">
      <c r="A2467" t="str">
        <v>Stegøvej 126, Store Stegø, 5400 Bogense</v>
      </c>
      <c r="B2467">
        <v>7409083</v>
      </c>
    </row>
    <row r="2468" spans="1:2" x14ac:dyDescent="0.25">
      <c r="A2468" t="str">
        <v>Skovvej 19, 5400 Bogense</v>
      </c>
      <c r="B2468">
        <v>7549782</v>
      </c>
    </row>
    <row r="2469" spans="1:2" x14ac:dyDescent="0.25">
      <c r="A2469" t="str">
        <v>Abildrovej 34, Eskilstrup, 5400 Bogense</v>
      </c>
      <c r="B2469">
        <v>7584620</v>
      </c>
    </row>
    <row r="2470" spans="1:2" x14ac:dyDescent="0.25">
      <c r="A2470" t="str">
        <v>Assensvej 35, Kattebjerg, 5400 Bogense</v>
      </c>
      <c r="B2470">
        <v>7584622</v>
      </c>
    </row>
    <row r="2471" spans="1:2" x14ac:dyDescent="0.25">
      <c r="A2471" t="str">
        <v>Gyldensteensvej 66, 5400 Bogense</v>
      </c>
      <c r="B2471">
        <v>7584632</v>
      </c>
    </row>
    <row r="2472" spans="1:2" x14ac:dyDescent="0.25">
      <c r="A2472" t="str">
        <v>Enggade 4, 5400 Bogense</v>
      </c>
      <c r="B2472">
        <v>7607464</v>
      </c>
    </row>
    <row r="2473" spans="1:2" x14ac:dyDescent="0.25">
      <c r="A2473" t="str">
        <v>Enggade 4, 5400 Bogense</v>
      </c>
      <c r="B2473">
        <v>7607464</v>
      </c>
    </row>
    <row r="2474" spans="1:2" x14ac:dyDescent="0.25">
      <c r="A2474" t="str">
        <v>Enggade 4, 5400 Bogense</v>
      </c>
      <c r="B2474">
        <v>7607464</v>
      </c>
    </row>
    <row r="2475" spans="1:2" x14ac:dyDescent="0.25">
      <c r="A2475" t="str">
        <v>Enggade 4, 5400 Bogense</v>
      </c>
      <c r="B2475">
        <v>7607464</v>
      </c>
    </row>
    <row r="2476" spans="1:2" x14ac:dyDescent="0.25">
      <c r="A2476" t="str">
        <v>Odensevej 132, 5400 Bogense</v>
      </c>
      <c r="B2476">
        <v>7626476</v>
      </c>
    </row>
    <row r="2477" spans="1:2" x14ac:dyDescent="0.25">
      <c r="A2477" t="str">
        <v>Harritslevvej 13, Grønløkke, 5400 Bogense</v>
      </c>
      <c r="B2477">
        <v>7647200</v>
      </c>
    </row>
    <row r="2478" spans="1:2" x14ac:dyDescent="0.25">
      <c r="A2478" t="str">
        <v>Kirkestræde 8, 5400 Bogense</v>
      </c>
      <c r="B2478">
        <v>7656238</v>
      </c>
    </row>
    <row r="2479" spans="1:2" x14ac:dyDescent="0.25">
      <c r="A2479" t="str">
        <v>Fynsvej 5, 5400 Bogense</v>
      </c>
      <c r="B2479">
        <v>7804036</v>
      </c>
    </row>
    <row r="2480" spans="1:2" x14ac:dyDescent="0.25">
      <c r="A2480" t="str">
        <v>Fynsvej 5, 5400 Bogense</v>
      </c>
      <c r="B2480">
        <v>7804036</v>
      </c>
    </row>
    <row r="2481" spans="1:2" x14ac:dyDescent="0.25">
      <c r="A2481" t="str">
        <v>Fynsvej 5, 5400 Bogense</v>
      </c>
      <c r="B2481">
        <v>7804036</v>
      </c>
    </row>
    <row r="2482" spans="1:2" x14ac:dyDescent="0.25">
      <c r="A2482" t="str">
        <v>Fynsvej 5, 5400 Bogense</v>
      </c>
      <c r="B2482">
        <v>7804036</v>
      </c>
    </row>
    <row r="2483" spans="1:2" x14ac:dyDescent="0.25">
      <c r="A2483" t="str">
        <v>Ømosevej 25, Kassemose, 5400 Bogense</v>
      </c>
      <c r="B2483">
        <v>7826950</v>
      </c>
    </row>
    <row r="2484" spans="1:2" x14ac:dyDescent="0.25">
      <c r="A2484" t="str">
        <v>Jyllandsvej 17, 5400 Bogense</v>
      </c>
      <c r="B2484">
        <v>7836847</v>
      </c>
    </row>
    <row r="2485" spans="1:2" x14ac:dyDescent="0.25">
      <c r="A2485" t="str">
        <v>Huggetvej 65, Gungerne, 5400 Bogense</v>
      </c>
      <c r="B2485">
        <v>7845248</v>
      </c>
    </row>
    <row r="2486" spans="1:2" x14ac:dyDescent="0.25">
      <c r="A2486" t="str">
        <v>Huggetvej 63, Gungerne, 5400 Bogense</v>
      </c>
      <c r="B2486">
        <v>7845249</v>
      </c>
    </row>
    <row r="2487" spans="1:2" x14ac:dyDescent="0.25">
      <c r="A2487" t="str">
        <v>Skovvej 1, 1. 1, 5400 Bogense</v>
      </c>
      <c r="B2487">
        <v>7858513</v>
      </c>
    </row>
    <row r="2488" spans="1:2" x14ac:dyDescent="0.25">
      <c r="A2488" t="str">
        <v>Skovvej 1, 1. 2, 5400 Bogense</v>
      </c>
      <c r="B2488">
        <v>7858513</v>
      </c>
    </row>
    <row r="2489" spans="1:2" x14ac:dyDescent="0.25">
      <c r="A2489" t="str">
        <v>Skovvej 1, 1. 3, 5400 Bogense</v>
      </c>
      <c r="B2489">
        <v>7858513</v>
      </c>
    </row>
    <row r="2490" spans="1:2" x14ac:dyDescent="0.25">
      <c r="A2490" t="str">
        <v>Skovvej 1, 1. 4, 5400 Bogense</v>
      </c>
      <c r="B2490">
        <v>7858513</v>
      </c>
    </row>
    <row r="2491" spans="1:2" x14ac:dyDescent="0.25">
      <c r="A2491" t="str">
        <v>Skovvej 1, 1. 5, 5400 Bogense</v>
      </c>
      <c r="B2491">
        <v>7858513</v>
      </c>
    </row>
    <row r="2492" spans="1:2" x14ac:dyDescent="0.25">
      <c r="A2492" t="str">
        <v>Skovvej 1, 2., 5400 Bogense</v>
      </c>
      <c r="B2492">
        <v>7858513</v>
      </c>
    </row>
    <row r="2493" spans="1:2" x14ac:dyDescent="0.25">
      <c r="A2493" t="str">
        <v>Jyllandsvej 4, 5400 Bogense</v>
      </c>
      <c r="B2493">
        <v>7875207</v>
      </c>
    </row>
    <row r="2494" spans="1:2" x14ac:dyDescent="0.25">
      <c r="A2494" t="str">
        <v>Jyllandsvej 4, 5400 Bogense</v>
      </c>
      <c r="B2494">
        <v>7875207</v>
      </c>
    </row>
    <row r="2495" spans="1:2" x14ac:dyDescent="0.25">
      <c r="A2495" t="str">
        <v>Jyllandsvej 4, 5400 Bogense</v>
      </c>
      <c r="B2495">
        <v>7875207</v>
      </c>
    </row>
    <row r="2496" spans="1:2" x14ac:dyDescent="0.25">
      <c r="A2496" t="str">
        <v>Jyllandsvej 4, 5400 Bogense</v>
      </c>
      <c r="B2496">
        <v>7875207</v>
      </c>
    </row>
    <row r="2497" spans="1:2" x14ac:dyDescent="0.25">
      <c r="A2497" t="str">
        <v>Jyllandsvej 4, 5400 Bogense</v>
      </c>
      <c r="B2497">
        <v>7875207</v>
      </c>
    </row>
    <row r="2498" spans="1:2" x14ac:dyDescent="0.25">
      <c r="A2498" t="str">
        <v>Jyllandsvej 4, 5400 Bogense</v>
      </c>
      <c r="B2498">
        <v>7875207</v>
      </c>
    </row>
    <row r="2499" spans="1:2" x14ac:dyDescent="0.25">
      <c r="A2499" t="str">
        <v>Tværgade 6, 5400 Bogense</v>
      </c>
      <c r="B2499">
        <v>7878817</v>
      </c>
    </row>
    <row r="2500" spans="1:2" x14ac:dyDescent="0.25">
      <c r="A2500" t="str">
        <v>Vestre Engvej 5, 5400 Bogense</v>
      </c>
      <c r="B2500">
        <v>7889206</v>
      </c>
    </row>
    <row r="2501" spans="1:2" x14ac:dyDescent="0.25">
      <c r="A2501" t="str">
        <v>Stavangerparken 5, 5400 Bogense</v>
      </c>
      <c r="B2501">
        <v>7922517</v>
      </c>
    </row>
    <row r="2502" spans="1:2" x14ac:dyDescent="0.25">
      <c r="A2502" t="str">
        <v>Stavangerparken 53, 5400 Bogense</v>
      </c>
      <c r="B2502">
        <v>7923927</v>
      </c>
    </row>
    <row r="2503" spans="1:2" x14ac:dyDescent="0.25">
      <c r="A2503" t="str">
        <v>Jernbanegade 2E, 1. th, 5400 Bogense</v>
      </c>
      <c r="B2503">
        <v>7952392</v>
      </c>
    </row>
    <row r="2504" spans="1:2" x14ac:dyDescent="0.25">
      <c r="A2504" t="str">
        <v>Jernbanegade 2E, 1. tv, 5400 Bogense</v>
      </c>
      <c r="B2504">
        <v>7952392</v>
      </c>
    </row>
    <row r="2505" spans="1:2" x14ac:dyDescent="0.25">
      <c r="A2505" t="str">
        <v>Jernbanegade 2E, 2., 5400 Bogense</v>
      </c>
      <c r="B2505">
        <v>7952392</v>
      </c>
    </row>
    <row r="2506" spans="1:2" x14ac:dyDescent="0.25">
      <c r="A2506" t="str">
        <v>Jernbanegade 2E, st. th, 5400 Bogense</v>
      </c>
      <c r="B2506">
        <v>7952392</v>
      </c>
    </row>
    <row r="2507" spans="1:2" x14ac:dyDescent="0.25">
      <c r="A2507" t="str">
        <v>Jernbanegade 2E, st. tv, 5400 Bogense</v>
      </c>
      <c r="B2507">
        <v>7952392</v>
      </c>
    </row>
    <row r="2508" spans="1:2" x14ac:dyDescent="0.25">
      <c r="A2508" t="str">
        <v>Guldbjergvej 64, Nordskov, 5400 Bogense</v>
      </c>
      <c r="B2508">
        <v>7987094</v>
      </c>
    </row>
    <row r="2509" spans="1:2" x14ac:dyDescent="0.25">
      <c r="A2509" t="str">
        <v>Bodøparken 38, 5400 Bogense</v>
      </c>
      <c r="B2509">
        <v>8054682</v>
      </c>
    </row>
    <row r="2510" spans="1:2" x14ac:dyDescent="0.25">
      <c r="A2510" t="str">
        <v>Bodøparken 40, 5400 Bogense</v>
      </c>
      <c r="B2510">
        <v>8054683</v>
      </c>
    </row>
    <row r="2511" spans="1:2" x14ac:dyDescent="0.25">
      <c r="A2511" t="str">
        <v>Bodøparken 39, 5400 Bogense</v>
      </c>
      <c r="B2511">
        <v>8054684</v>
      </c>
    </row>
    <row r="2512" spans="1:2" x14ac:dyDescent="0.25">
      <c r="A2512" t="str">
        <v>Bodøparken 37, 5400 Bogense</v>
      </c>
      <c r="B2512">
        <v>8054685</v>
      </c>
    </row>
    <row r="2513" spans="1:2" x14ac:dyDescent="0.25">
      <c r="A2513" t="str">
        <v>Bodøparken 35, 5400 Bogense</v>
      </c>
      <c r="B2513">
        <v>8054686</v>
      </c>
    </row>
    <row r="2514" spans="1:2" x14ac:dyDescent="0.25">
      <c r="A2514" t="str">
        <v>Adelgade 112, 5400 Bogense</v>
      </c>
      <c r="B2514">
        <v>8083969</v>
      </c>
    </row>
    <row r="2515" spans="1:2" x14ac:dyDescent="0.25">
      <c r="A2515" t="str">
        <v>Adelgade 112, 1., 5400 Bogense</v>
      </c>
      <c r="B2515">
        <v>8083969</v>
      </c>
    </row>
    <row r="2516" spans="1:2" x14ac:dyDescent="0.25">
      <c r="A2516" t="str">
        <v>Adelgade 112, 5400 Bogense</v>
      </c>
      <c r="B2516">
        <v>8083969</v>
      </c>
    </row>
    <row r="2517" spans="1:2" x14ac:dyDescent="0.25">
      <c r="A2517" t="str">
        <v>Vestre Havnevej 1, 5400 Bogense</v>
      </c>
      <c r="B2517">
        <v>8148765</v>
      </c>
    </row>
    <row r="2518" spans="1:2" x14ac:dyDescent="0.25">
      <c r="A2518" t="str">
        <v>Tornhøj 10, Hugget, 5400 Bogense</v>
      </c>
      <c r="B2518">
        <v>8173306</v>
      </c>
    </row>
    <row r="2519" spans="1:2" x14ac:dyDescent="0.25">
      <c r="A2519" t="str">
        <v>Storkenhøjvej 99, Fogense, 5400 Bogense</v>
      </c>
      <c r="B2519">
        <v>8274862</v>
      </c>
    </row>
    <row r="2520" spans="1:2" x14ac:dyDescent="0.25">
      <c r="A2520" t="str">
        <v>Huggetvej 71, Gungerne, 5400 Bogense</v>
      </c>
      <c r="B2520">
        <v>8305760</v>
      </c>
    </row>
    <row r="2521" spans="1:2" x14ac:dyDescent="0.25">
      <c r="A2521" t="str">
        <v>Huggetvej 71, Gungerne, 5400 Bogense</v>
      </c>
      <c r="B2521">
        <v>8305760</v>
      </c>
    </row>
    <row r="2522" spans="1:2" x14ac:dyDescent="0.25">
      <c r="A2522" t="str">
        <v>Huggetvej 71, Gungerne, 5400 Bogense</v>
      </c>
      <c r="B2522">
        <v>8305760</v>
      </c>
    </row>
    <row r="2523" spans="1:2" x14ac:dyDescent="0.25">
      <c r="A2523" t="str">
        <v>Huggetvej 94, Kræmmerkrog, 5400 Bogense</v>
      </c>
      <c r="B2523">
        <v>8305761</v>
      </c>
    </row>
    <row r="2524" spans="1:2" x14ac:dyDescent="0.25">
      <c r="A2524" t="str">
        <v>Storkenhøjvej 83, Fogense, 5400 Bogense</v>
      </c>
      <c r="B2524">
        <v>8307198</v>
      </c>
    </row>
    <row r="2525" spans="1:2" x14ac:dyDescent="0.25">
      <c r="A2525" t="str">
        <v>Storkenhøjvej 81, Fogense, 5400 Bogense</v>
      </c>
      <c r="B2525">
        <v>8307199</v>
      </c>
    </row>
    <row r="2526" spans="1:2" x14ac:dyDescent="0.25">
      <c r="A2526" t="str">
        <v>Kirkestræde 24, 5400 Bogense</v>
      </c>
      <c r="B2526">
        <v>8314105</v>
      </c>
    </row>
    <row r="2527" spans="1:2" x14ac:dyDescent="0.25">
      <c r="A2527" t="str">
        <v>Trondheimparken 1, 5400 Bogense</v>
      </c>
      <c r="B2527">
        <v>8346574</v>
      </c>
    </row>
    <row r="2528" spans="1:2" x14ac:dyDescent="0.25">
      <c r="A2528" t="str">
        <v>Trondheimparken 3, 5400 Bogense</v>
      </c>
      <c r="B2528">
        <v>8346575</v>
      </c>
    </row>
    <row r="2529" spans="1:2" x14ac:dyDescent="0.25">
      <c r="A2529" t="str">
        <v>Trondheimparken 5, 5400 Bogense</v>
      </c>
      <c r="B2529">
        <v>8346576</v>
      </c>
    </row>
    <row r="2530" spans="1:2" x14ac:dyDescent="0.25">
      <c r="A2530" t="str">
        <v>Trondheimparken 7, 5400 Bogense</v>
      </c>
      <c r="B2530">
        <v>8346577</v>
      </c>
    </row>
    <row r="2531" spans="1:2" x14ac:dyDescent="0.25">
      <c r="A2531" t="str">
        <v>Trondheimparken 9, 5400 Bogense</v>
      </c>
      <c r="B2531">
        <v>8346578</v>
      </c>
    </row>
    <row r="2532" spans="1:2" x14ac:dyDescent="0.25">
      <c r="A2532" t="str">
        <v>Trondheimparken 11, 5400 Bogense</v>
      </c>
      <c r="B2532">
        <v>8346579</v>
      </c>
    </row>
    <row r="2533" spans="1:2" x14ac:dyDescent="0.25">
      <c r="A2533" t="str">
        <v>Trondheimparken 13, 5400 Bogense</v>
      </c>
      <c r="B2533">
        <v>8346580</v>
      </c>
    </row>
    <row r="2534" spans="1:2" x14ac:dyDescent="0.25">
      <c r="A2534" t="str">
        <v>Trondheimparken 15, 5400 Bogense</v>
      </c>
      <c r="B2534">
        <v>8346581</v>
      </c>
    </row>
    <row r="2535" spans="1:2" x14ac:dyDescent="0.25">
      <c r="A2535" t="str">
        <v>Trondheimparken 50, 5400 Bogense</v>
      </c>
      <c r="B2535">
        <v>8346582</v>
      </c>
    </row>
    <row r="2536" spans="1:2" x14ac:dyDescent="0.25">
      <c r="A2536" t="str">
        <v>Stegøvej 23, 5400 Bogense</v>
      </c>
      <c r="B2536">
        <v>8353772</v>
      </c>
    </row>
    <row r="2537" spans="1:2" x14ac:dyDescent="0.25">
      <c r="A2537">
        <v>0</v>
      </c>
      <c r="B2537">
        <v>8363918</v>
      </c>
    </row>
    <row r="2538" spans="1:2" x14ac:dyDescent="0.25">
      <c r="A2538" t="str">
        <v>Storkenhøjvej 145, Fogense Enge, 5400 Bogense</v>
      </c>
      <c r="B2538">
        <v>8407712</v>
      </c>
    </row>
    <row r="2539" spans="1:2" x14ac:dyDescent="0.25">
      <c r="A2539">
        <v>0</v>
      </c>
      <c r="B2539">
        <v>8509588</v>
      </c>
    </row>
    <row r="2540" spans="1:2" x14ac:dyDescent="0.25">
      <c r="A2540" t="str">
        <v>Fynsvej 25, 5400 Bogense</v>
      </c>
      <c r="B2540">
        <v>8522987</v>
      </c>
    </row>
    <row r="2541" spans="1:2" x14ac:dyDescent="0.25">
      <c r="A2541" t="str">
        <v>Gyldensteensvej 6, 5400 Bogense</v>
      </c>
      <c r="B2541">
        <v>8550129</v>
      </c>
    </row>
    <row r="2542" spans="1:2" x14ac:dyDescent="0.25">
      <c r="A2542" t="str">
        <v>Havnefronten 2, st., 5400 Bogense</v>
      </c>
      <c r="B2542">
        <v>286549</v>
      </c>
    </row>
    <row r="2543" spans="1:2" x14ac:dyDescent="0.25">
      <c r="A2543" t="str">
        <v>Havnefronten 8, st., 5400 Bogense</v>
      </c>
      <c r="B2543">
        <v>286550</v>
      </c>
    </row>
    <row r="2544" spans="1:2" x14ac:dyDescent="0.25">
      <c r="A2544" t="str">
        <v>Havnefronten 8, 1., 5400 Bogense</v>
      </c>
      <c r="B2544">
        <v>286551</v>
      </c>
    </row>
    <row r="2545" spans="1:2" x14ac:dyDescent="0.25">
      <c r="A2545" t="str">
        <v>Havnefronten 8, 2., 5400 Bogense</v>
      </c>
      <c r="B2545">
        <v>286552</v>
      </c>
    </row>
    <row r="2546" spans="1:2" x14ac:dyDescent="0.25">
      <c r="A2546" t="str">
        <v>Havnefronten 2, 1., 5400 Bogense</v>
      </c>
      <c r="B2546">
        <v>286553</v>
      </c>
    </row>
    <row r="2547" spans="1:2" x14ac:dyDescent="0.25">
      <c r="A2547" t="str">
        <v>Havnefronten 2, 2., 5400 Bogense</v>
      </c>
      <c r="B2547">
        <v>286554</v>
      </c>
    </row>
    <row r="2548" spans="1:2" x14ac:dyDescent="0.25">
      <c r="A2548" t="str">
        <v>Havnefronten 4, st., 5400 Bogense</v>
      </c>
      <c r="B2548">
        <v>286555</v>
      </c>
    </row>
    <row r="2549" spans="1:2" x14ac:dyDescent="0.25">
      <c r="A2549" t="str">
        <v>Havnefronten 4, 1., 5400 Bogense</v>
      </c>
      <c r="B2549">
        <v>286556</v>
      </c>
    </row>
    <row r="2550" spans="1:2" x14ac:dyDescent="0.25">
      <c r="A2550" t="str">
        <v>Havnefronten 4, 2., 5400 Bogense</v>
      </c>
      <c r="B2550">
        <v>286557</v>
      </c>
    </row>
    <row r="2551" spans="1:2" x14ac:dyDescent="0.25">
      <c r="A2551" t="str">
        <v>Havnefronten 6, st., 5400 Bogense</v>
      </c>
      <c r="B2551">
        <v>286558</v>
      </c>
    </row>
    <row r="2552" spans="1:2" x14ac:dyDescent="0.25">
      <c r="A2552" t="str">
        <v>Havnefronten 6, 1., 5400 Bogense</v>
      </c>
      <c r="B2552">
        <v>286559</v>
      </c>
    </row>
    <row r="2553" spans="1:2" x14ac:dyDescent="0.25">
      <c r="A2553" t="str">
        <v>Havnefronten 6, 2., 5400 Bogense</v>
      </c>
      <c r="B2553">
        <v>286560</v>
      </c>
    </row>
    <row r="2554" spans="1:2" x14ac:dyDescent="0.25">
      <c r="A2554" t="str">
        <v>Havnefronten 2, 5400 Bogense</v>
      </c>
      <c r="B2554">
        <v>8563190</v>
      </c>
    </row>
    <row r="2555" spans="1:2" x14ac:dyDescent="0.25">
      <c r="A2555" t="str">
        <v>Vestergade 3F, 5400 Bogense</v>
      </c>
      <c r="B2555">
        <v>8677932</v>
      </c>
    </row>
    <row r="2556" spans="1:2" x14ac:dyDescent="0.25">
      <c r="A2556" t="str">
        <v>Oslovej 40C, 5400 Bogense</v>
      </c>
      <c r="B2556">
        <v>8875355</v>
      </c>
    </row>
    <row r="2557" spans="1:2" x14ac:dyDescent="0.25">
      <c r="A2557" t="str">
        <v>Oslovej 40B, 5400 Bogense</v>
      </c>
      <c r="B2557">
        <v>8875356</v>
      </c>
    </row>
    <row r="2558" spans="1:2" x14ac:dyDescent="0.25">
      <c r="A2558" t="str">
        <v>Gyldensteensvej 80, 5400 Bogense</v>
      </c>
      <c r="B2558">
        <v>8879825</v>
      </c>
    </row>
    <row r="2559" spans="1:2" x14ac:dyDescent="0.25">
      <c r="A2559" t="str">
        <v>Gyldensteensvej 81, 5400 Bogense</v>
      </c>
      <c r="B2559">
        <v>8879826</v>
      </c>
    </row>
    <row r="2560" spans="1:2" x14ac:dyDescent="0.25">
      <c r="A2560" t="str">
        <v>Østre Havnevej 2, 5400 Bogense</v>
      </c>
      <c r="B2560">
        <v>8907362</v>
      </c>
    </row>
    <row r="2561" spans="1:2" x14ac:dyDescent="0.25">
      <c r="A2561" t="str">
        <v>Storkenhøjvej 101, Fogense, 5400 Bogense</v>
      </c>
      <c r="B2561">
        <v>8994231</v>
      </c>
    </row>
    <row r="2562" spans="1:2" x14ac:dyDescent="0.25">
      <c r="A2562" t="str">
        <v>Bag Bognæs 10, 5400 Bogense</v>
      </c>
      <c r="B2562">
        <v>9062813</v>
      </c>
    </row>
    <row r="2563" spans="1:2" x14ac:dyDescent="0.25">
      <c r="A2563" t="str">
        <v>Bag Bognæs 10, 5400 Bogense</v>
      </c>
      <c r="B2563">
        <v>9062813</v>
      </c>
    </row>
    <row r="2564" spans="1:2" x14ac:dyDescent="0.25">
      <c r="A2564" t="str">
        <v>Bag Bognæs 12, 5400 Bogense</v>
      </c>
      <c r="B2564">
        <v>9062813</v>
      </c>
    </row>
    <row r="2565" spans="1:2" x14ac:dyDescent="0.25">
      <c r="A2565" t="str">
        <v>Bag Bognæs 14, 5400 Bogense</v>
      </c>
      <c r="B2565">
        <v>9062813</v>
      </c>
    </row>
    <row r="2566" spans="1:2" x14ac:dyDescent="0.25">
      <c r="A2566" t="str">
        <v>Bag Bognæs 16, 5400 Bogense</v>
      </c>
      <c r="B2566">
        <v>9062813</v>
      </c>
    </row>
    <row r="2567" spans="1:2" x14ac:dyDescent="0.25">
      <c r="A2567" t="str">
        <v>Bag Bognæs 18, 5400 Bogense</v>
      </c>
      <c r="B2567">
        <v>9062813</v>
      </c>
    </row>
    <row r="2568" spans="1:2" x14ac:dyDescent="0.25">
      <c r="A2568" t="str">
        <v>Bag Bognæs 20, 1., 5400 Bogense</v>
      </c>
      <c r="B2568">
        <v>9062813</v>
      </c>
    </row>
    <row r="2569" spans="1:2" x14ac:dyDescent="0.25">
      <c r="A2569" t="str">
        <v>Bag Bognæs 20, st., 5400 Bogense</v>
      </c>
      <c r="B2569">
        <v>9062813</v>
      </c>
    </row>
    <row r="2570" spans="1:2" x14ac:dyDescent="0.25">
      <c r="A2570" t="str">
        <v>Bag Bognæs 22, 1., 5400 Bogense</v>
      </c>
      <c r="B2570">
        <v>9062813</v>
      </c>
    </row>
    <row r="2571" spans="1:2" x14ac:dyDescent="0.25">
      <c r="A2571" t="str">
        <v>Bag Bognæs 22, st., 5400 Bogense</v>
      </c>
      <c r="B2571">
        <v>9062813</v>
      </c>
    </row>
    <row r="2572" spans="1:2" x14ac:dyDescent="0.25">
      <c r="A2572" t="str">
        <v>Bag Bognæs 24, 5400 Bogense</v>
      </c>
      <c r="B2572">
        <v>9062813</v>
      </c>
    </row>
    <row r="2573" spans="1:2" x14ac:dyDescent="0.25">
      <c r="A2573" t="str">
        <v>Bag Bognæs 26, 5400 Bogense</v>
      </c>
      <c r="B2573">
        <v>9062813</v>
      </c>
    </row>
    <row r="2574" spans="1:2" x14ac:dyDescent="0.25">
      <c r="A2574" t="str">
        <v>Bag Bognæs 28, 5400 Bogense</v>
      </c>
      <c r="B2574">
        <v>9062813</v>
      </c>
    </row>
    <row r="2575" spans="1:2" x14ac:dyDescent="0.25">
      <c r="A2575" t="str">
        <v>Bag Bognæs 30, 5400 Bogense</v>
      </c>
      <c r="B2575">
        <v>9062813</v>
      </c>
    </row>
    <row r="2576" spans="1:2" x14ac:dyDescent="0.25">
      <c r="A2576" t="str">
        <v>Bag Bognæs 32, 5400 Bogense</v>
      </c>
      <c r="B2576">
        <v>9062813</v>
      </c>
    </row>
    <row r="2577" spans="1:2" x14ac:dyDescent="0.25">
      <c r="A2577" t="str">
        <v>Bag Bognæs 34, 5400 Bogense</v>
      </c>
      <c r="B2577">
        <v>9062813</v>
      </c>
    </row>
    <row r="2578" spans="1:2" x14ac:dyDescent="0.25">
      <c r="A2578" t="str">
        <v>Bag Bognæs 36, 5400 Bogense</v>
      </c>
      <c r="B2578">
        <v>9062813</v>
      </c>
    </row>
    <row r="2579" spans="1:2" x14ac:dyDescent="0.25">
      <c r="A2579" t="str">
        <v>Bag Bognæs 38, 5400 Bogense</v>
      </c>
      <c r="B2579">
        <v>9062813</v>
      </c>
    </row>
    <row r="2580" spans="1:2" x14ac:dyDescent="0.25">
      <c r="A2580" t="str">
        <v>Bag Bognæs 40, 5400 Bogense</v>
      </c>
      <c r="B2580">
        <v>9062813</v>
      </c>
    </row>
    <row r="2581" spans="1:2" x14ac:dyDescent="0.25">
      <c r="A2581" t="str">
        <v>Bag Bognæs 42, 5400 Bogense</v>
      </c>
      <c r="B2581">
        <v>9062813</v>
      </c>
    </row>
    <row r="2582" spans="1:2" x14ac:dyDescent="0.25">
      <c r="A2582" t="str">
        <v>Bag Bognæs 44, 1., 5400 Bogense</v>
      </c>
      <c r="B2582">
        <v>9062813</v>
      </c>
    </row>
    <row r="2583" spans="1:2" x14ac:dyDescent="0.25">
      <c r="A2583" t="str">
        <v>Bag Bognæs 44, st., 5400 Bogense</v>
      </c>
      <c r="B2583">
        <v>9062813</v>
      </c>
    </row>
    <row r="2584" spans="1:2" x14ac:dyDescent="0.25">
      <c r="A2584" t="str">
        <v>Bag Bognæs 46, 1., 5400 Bogense</v>
      </c>
      <c r="B2584">
        <v>9062813</v>
      </c>
    </row>
    <row r="2585" spans="1:2" x14ac:dyDescent="0.25">
      <c r="A2585" t="str">
        <v>Bag Bognæs 46, st., 5400 Bogense</v>
      </c>
      <c r="B2585">
        <v>9062813</v>
      </c>
    </row>
    <row r="2586" spans="1:2" x14ac:dyDescent="0.25">
      <c r="A2586" t="str">
        <v>Bag Bognæs 48, 5400 Bogense</v>
      </c>
      <c r="B2586">
        <v>9062813</v>
      </c>
    </row>
    <row r="2587" spans="1:2" x14ac:dyDescent="0.25">
      <c r="A2587" t="str">
        <v>Bag Bognæs 50, 5400 Bogense</v>
      </c>
      <c r="B2587">
        <v>9062813</v>
      </c>
    </row>
    <row r="2588" spans="1:2" x14ac:dyDescent="0.25">
      <c r="A2588" t="str">
        <v>Bag Bognæs 52, 5400 Bogense</v>
      </c>
      <c r="B2588">
        <v>9062813</v>
      </c>
    </row>
    <row r="2589" spans="1:2" x14ac:dyDescent="0.25">
      <c r="A2589" t="str">
        <v>Bag Bognæs 54, 5400 Bogense</v>
      </c>
      <c r="B2589">
        <v>9062813</v>
      </c>
    </row>
    <row r="2590" spans="1:2" x14ac:dyDescent="0.25">
      <c r="A2590" t="str">
        <v>Bag Bognæs 56, 5400 Bogense</v>
      </c>
      <c r="B2590">
        <v>9062813</v>
      </c>
    </row>
    <row r="2591" spans="1:2" x14ac:dyDescent="0.25">
      <c r="A2591" t="str">
        <v>Vestre Engvej 7, 5400 Bogense</v>
      </c>
      <c r="B2591">
        <v>9071902</v>
      </c>
    </row>
    <row r="2592" spans="1:2" x14ac:dyDescent="0.25">
      <c r="A2592" t="str">
        <v>Vestre Engvej 7, 5400 Bogense</v>
      </c>
      <c r="B2592">
        <v>9071902</v>
      </c>
    </row>
    <row r="2593" spans="1:2" x14ac:dyDescent="0.25">
      <c r="A2593" t="str">
        <v>Vestre Engvej 7, 5400 Bogense</v>
      </c>
      <c r="B2593">
        <v>9071902</v>
      </c>
    </row>
    <row r="2594" spans="1:2" x14ac:dyDescent="0.25">
      <c r="A2594" t="str">
        <v>Skårupvej 2, Skårup, 5400 Bogense</v>
      </c>
      <c r="B2594">
        <v>9106509</v>
      </c>
    </row>
    <row r="2595" spans="1:2" x14ac:dyDescent="0.25">
      <c r="A2595" t="str">
        <v>Storkenhøjvej 153, Fogense Enge, 5400 Bogense</v>
      </c>
      <c r="B2595">
        <v>9106511</v>
      </c>
    </row>
    <row r="2596" spans="1:2" x14ac:dyDescent="0.25">
      <c r="A2596" t="str">
        <v>Huggetvej 18B, 5400 Bogense</v>
      </c>
      <c r="B2596">
        <v>9221726</v>
      </c>
    </row>
    <row r="2597" spans="1:2" x14ac:dyDescent="0.25">
      <c r="A2597" t="str">
        <v>Huggetvej 10A, 5400 Bogense</v>
      </c>
      <c r="B2597">
        <v>9221727</v>
      </c>
    </row>
    <row r="2598" spans="1:2" x14ac:dyDescent="0.25">
      <c r="A2598" t="str">
        <v>Huggetvej 10A, 5400 Bogense</v>
      </c>
      <c r="B2598">
        <v>9221727</v>
      </c>
    </row>
    <row r="2599" spans="1:2" x14ac:dyDescent="0.25">
      <c r="A2599" t="str">
        <v>Huggetvej 10B, 5400 Bogense</v>
      </c>
      <c r="B2599">
        <v>9221727</v>
      </c>
    </row>
    <row r="2600" spans="1:2" x14ac:dyDescent="0.25">
      <c r="A2600" t="str">
        <v>Huggetvej 12A, 5400 Bogense</v>
      </c>
      <c r="B2600">
        <v>9221727</v>
      </c>
    </row>
    <row r="2601" spans="1:2" x14ac:dyDescent="0.25">
      <c r="A2601" t="str">
        <v>Huggetvej 12B, 5400 Bogense</v>
      </c>
      <c r="B2601">
        <v>9221727</v>
      </c>
    </row>
    <row r="2602" spans="1:2" x14ac:dyDescent="0.25">
      <c r="A2602" t="str">
        <v>Huggetvej 14A, 5400 Bogense</v>
      </c>
      <c r="B2602">
        <v>9221727</v>
      </c>
    </row>
    <row r="2603" spans="1:2" x14ac:dyDescent="0.25">
      <c r="A2603" t="str">
        <v>Huggetvej 14B, 5400 Bogense</v>
      </c>
      <c r="B2603">
        <v>9221727</v>
      </c>
    </row>
    <row r="2604" spans="1:2" x14ac:dyDescent="0.25">
      <c r="A2604" t="str">
        <v>Huggetvej 16A, 5400 Bogense</v>
      </c>
      <c r="B2604">
        <v>9221727</v>
      </c>
    </row>
    <row r="2605" spans="1:2" x14ac:dyDescent="0.25">
      <c r="A2605" t="str">
        <v>Huggetvej 16B, 5400 Bogense</v>
      </c>
      <c r="B2605">
        <v>9221727</v>
      </c>
    </row>
    <row r="2606" spans="1:2" x14ac:dyDescent="0.25">
      <c r="A2606" t="str">
        <v>Huggetvej 18, 5400 Bogense</v>
      </c>
      <c r="B2606">
        <v>9221728</v>
      </c>
    </row>
    <row r="2607" spans="1:2" x14ac:dyDescent="0.25">
      <c r="A2607" t="str">
        <v>Oslovej 43, 5400 Bogense</v>
      </c>
      <c r="B2607">
        <v>9383103</v>
      </c>
    </row>
    <row r="2608" spans="1:2" x14ac:dyDescent="0.25">
      <c r="A2608" t="str">
        <v>Oslovej 49, 5400 Bogense</v>
      </c>
      <c r="B2608">
        <v>9383104</v>
      </c>
    </row>
    <row r="2609" spans="1:2" x14ac:dyDescent="0.25">
      <c r="A2609" t="str">
        <v>Oslovej 51, 5400 Bogense</v>
      </c>
      <c r="B2609">
        <v>9383105</v>
      </c>
    </row>
    <row r="2610" spans="1:2" x14ac:dyDescent="0.25">
      <c r="A2610" t="str">
        <v>Oslovej 53, 5400 Bogense</v>
      </c>
      <c r="B2610">
        <v>9383106</v>
      </c>
    </row>
    <row r="2611" spans="1:2" x14ac:dyDescent="0.25">
      <c r="A2611" t="str">
        <v>Oslovej 45, 5400 Bogense</v>
      </c>
      <c r="B2611">
        <v>9383107</v>
      </c>
    </row>
    <row r="2612" spans="1:2" x14ac:dyDescent="0.25">
      <c r="A2612" t="str">
        <v>Oslovej 47, 5400 Bogense</v>
      </c>
      <c r="B2612">
        <v>9383108</v>
      </c>
    </row>
    <row r="2613" spans="1:2" x14ac:dyDescent="0.25">
      <c r="A2613" t="str">
        <v>Skovvej 69B, 5400 Bogense</v>
      </c>
      <c r="B2613">
        <v>9408392</v>
      </c>
    </row>
    <row r="2614" spans="1:2" x14ac:dyDescent="0.25">
      <c r="A2614" t="str">
        <v>Skovvej 69A, 5400 Bogense</v>
      </c>
      <c r="B2614">
        <v>9408394</v>
      </c>
    </row>
    <row r="2615" spans="1:2" x14ac:dyDescent="0.25">
      <c r="A2615">
        <v>0</v>
      </c>
      <c r="B2615">
        <v>9408395</v>
      </c>
    </row>
    <row r="2616" spans="1:2" x14ac:dyDescent="0.25">
      <c r="A2616" t="str">
        <v>Guldbjergvej 68, Smidstrup, 5400 Bogense</v>
      </c>
      <c r="B2616">
        <v>9428352</v>
      </c>
    </row>
    <row r="2617" spans="1:2" x14ac:dyDescent="0.25">
      <c r="A2617" t="str">
        <v>Langegyde 31, Kræmmerkrog, 5400 Bogense</v>
      </c>
      <c r="B2617">
        <v>9428383</v>
      </c>
    </row>
    <row r="2618" spans="1:2" x14ac:dyDescent="0.25">
      <c r="A2618" t="str">
        <v>Donnervej 8, Skovby Nymark, 5400 Bogense</v>
      </c>
      <c r="B2618">
        <v>9428384</v>
      </c>
    </row>
    <row r="2619" spans="1:2" x14ac:dyDescent="0.25">
      <c r="A2619" t="str">
        <v>Kristianslundsvej 2, 5400 Bogense</v>
      </c>
      <c r="B2619">
        <v>9428394</v>
      </c>
    </row>
    <row r="2620" spans="1:2" x14ac:dyDescent="0.25">
      <c r="A2620" t="str">
        <v>Kristianslundsvej 22, Damstedet, 5400 Bogense</v>
      </c>
      <c r="B2620">
        <v>9428398</v>
      </c>
    </row>
    <row r="2621" spans="1:2" x14ac:dyDescent="0.25">
      <c r="A2621" t="str">
        <v>Klemstrup 3, Eskilstrup, 5400 Bogense</v>
      </c>
      <c r="B2621">
        <v>9428410</v>
      </c>
    </row>
    <row r="2622" spans="1:2" x14ac:dyDescent="0.25">
      <c r="A2622" t="str">
        <v>Hotelpassagen 2, 5400 Bogense</v>
      </c>
      <c r="B2622">
        <v>286575</v>
      </c>
    </row>
    <row r="2623" spans="1:2" x14ac:dyDescent="0.25">
      <c r="A2623" t="str">
        <v>Vandværksvej 1, 5400 Bogense</v>
      </c>
      <c r="B2623">
        <v>286576</v>
      </c>
    </row>
    <row r="2624" spans="1:2" x14ac:dyDescent="0.25">
      <c r="A2624" t="str">
        <v>Vandværksvej 3, 1. 1, 5400 Bogense</v>
      </c>
      <c r="B2624">
        <v>286576</v>
      </c>
    </row>
    <row r="2625" spans="1:2" x14ac:dyDescent="0.25">
      <c r="A2625" t="str">
        <v>Vandværksvej 3, 1. 2, 5400 Bogense</v>
      </c>
      <c r="B2625">
        <v>286576</v>
      </c>
    </row>
    <row r="2626" spans="1:2" x14ac:dyDescent="0.25">
      <c r="A2626" t="str">
        <v>Vandværksvej 3, 1. 3, 5400 Bogense</v>
      </c>
      <c r="B2626">
        <v>286576</v>
      </c>
    </row>
    <row r="2627" spans="1:2" x14ac:dyDescent="0.25">
      <c r="A2627" t="str">
        <v>Vandværksvej 5, 5400 Bogense</v>
      </c>
      <c r="B2627">
        <v>286576</v>
      </c>
    </row>
    <row r="2628" spans="1:2" x14ac:dyDescent="0.25">
      <c r="A2628" t="str">
        <v>Vestergade 25B, 5400 Bogense</v>
      </c>
      <c r="B2628">
        <v>286576</v>
      </c>
    </row>
    <row r="2629" spans="1:2" x14ac:dyDescent="0.25">
      <c r="A2629" t="str">
        <v>Hotelpassagen 2, 5400 Bogense</v>
      </c>
      <c r="B2629">
        <v>9428417</v>
      </c>
    </row>
    <row r="2630" spans="1:2" x14ac:dyDescent="0.25">
      <c r="A2630" t="str">
        <v>Adelgade 74, 5400 Bogense</v>
      </c>
      <c r="B2630">
        <v>9428418</v>
      </c>
    </row>
    <row r="2631" spans="1:2" x14ac:dyDescent="0.25">
      <c r="A2631" t="str">
        <v>Torvet 32B, 5400 Bogense</v>
      </c>
      <c r="B2631">
        <v>9428419</v>
      </c>
    </row>
    <row r="2632" spans="1:2" x14ac:dyDescent="0.25">
      <c r="A2632">
        <v>0</v>
      </c>
      <c r="B2632">
        <v>9428420</v>
      </c>
    </row>
    <row r="2633" spans="1:2" x14ac:dyDescent="0.25">
      <c r="A2633" t="str">
        <v>Gyldensteensvej 24, 5400 Bogense</v>
      </c>
      <c r="B2633">
        <v>9428421</v>
      </c>
    </row>
    <row r="2634" spans="1:2" x14ac:dyDescent="0.25">
      <c r="A2634" t="str">
        <v>Gyldensteensvej 2, 5400 Bogense</v>
      </c>
      <c r="B2634">
        <v>9428421</v>
      </c>
    </row>
    <row r="2635" spans="1:2" x14ac:dyDescent="0.25">
      <c r="A2635" t="str">
        <v>Gyldensteensvej 2, 5400 Bogense</v>
      </c>
      <c r="B2635">
        <v>9428421</v>
      </c>
    </row>
    <row r="2636" spans="1:2" x14ac:dyDescent="0.25">
      <c r="A2636" t="str">
        <v>Gyldensteensvej 2, 5400 Bogense</v>
      </c>
      <c r="B2636">
        <v>9428421</v>
      </c>
    </row>
    <row r="2637" spans="1:2" x14ac:dyDescent="0.25">
      <c r="A2637" t="str">
        <v>Gyldensteensvej 2, 5400 Bogense</v>
      </c>
      <c r="B2637">
        <v>9428421</v>
      </c>
    </row>
    <row r="2638" spans="1:2" x14ac:dyDescent="0.25">
      <c r="A2638" t="str">
        <v>Gyldensteensvej 24, 5400 Bogense</v>
      </c>
      <c r="B2638">
        <v>9428421</v>
      </c>
    </row>
    <row r="2639" spans="1:2" x14ac:dyDescent="0.25">
      <c r="A2639" t="str">
        <v>Poppelvej 4, 5400 Bogense</v>
      </c>
      <c r="B2639">
        <v>9428421</v>
      </c>
    </row>
    <row r="2640" spans="1:2" x14ac:dyDescent="0.25">
      <c r="A2640" t="str">
        <v>Poppelvej 6, 5400 Bogense</v>
      </c>
      <c r="B2640">
        <v>9428421</v>
      </c>
    </row>
    <row r="2641" spans="1:2" x14ac:dyDescent="0.25">
      <c r="A2641" t="str">
        <v>Gyvelvænget 12B, 5400 Bogense</v>
      </c>
      <c r="B2641">
        <v>733060</v>
      </c>
    </row>
    <row r="2642" spans="1:2" x14ac:dyDescent="0.25">
      <c r="A2642" t="str">
        <v>Gyvelvænget 12B, 5400 Bogense</v>
      </c>
      <c r="B2642">
        <v>9428423</v>
      </c>
    </row>
    <row r="2643" spans="1:2" x14ac:dyDescent="0.25">
      <c r="A2643" t="str">
        <v>Ahornvej 14, 5400 Bogense</v>
      </c>
      <c r="B2643">
        <v>9428424</v>
      </c>
    </row>
    <row r="2644" spans="1:2" x14ac:dyDescent="0.25">
      <c r="A2644" t="str">
        <v>Ahornvej 14, 5400 Bogense</v>
      </c>
      <c r="B2644">
        <v>9428424</v>
      </c>
    </row>
    <row r="2645" spans="1:2" x14ac:dyDescent="0.25">
      <c r="A2645" t="str">
        <v>Ahornvej 16, 5400 Bogense</v>
      </c>
      <c r="B2645">
        <v>9428424</v>
      </c>
    </row>
    <row r="2646" spans="1:2" x14ac:dyDescent="0.25">
      <c r="A2646" t="str">
        <v>Ahornvej 18, 5400 Bogense</v>
      </c>
      <c r="B2646">
        <v>9428424</v>
      </c>
    </row>
    <row r="2647" spans="1:2" x14ac:dyDescent="0.25">
      <c r="A2647" t="str">
        <v>Ahornvej 20, 5400 Bogense</v>
      </c>
      <c r="B2647">
        <v>9428424</v>
      </c>
    </row>
    <row r="2648" spans="1:2" x14ac:dyDescent="0.25">
      <c r="A2648" t="str">
        <v>Ahornvej 22, 5400 Bogense</v>
      </c>
      <c r="B2648">
        <v>9428424</v>
      </c>
    </row>
    <row r="2649" spans="1:2" x14ac:dyDescent="0.25">
      <c r="A2649" t="str">
        <v>Ahornvej 24, 5400 Bogense</v>
      </c>
      <c r="B2649">
        <v>9428424</v>
      </c>
    </row>
    <row r="2650" spans="1:2" x14ac:dyDescent="0.25">
      <c r="A2650" t="str">
        <v>Ahornvej 26, 5400 Bogense</v>
      </c>
      <c r="B2650">
        <v>9428424</v>
      </c>
    </row>
    <row r="2651" spans="1:2" x14ac:dyDescent="0.25">
      <c r="A2651" t="str">
        <v>Ahornvej 28, 5400 Bogense</v>
      </c>
      <c r="B2651">
        <v>9428424</v>
      </c>
    </row>
    <row r="2652" spans="1:2" x14ac:dyDescent="0.25">
      <c r="A2652" t="str">
        <v>Ahornvej 30, 5400 Bogense</v>
      </c>
      <c r="B2652">
        <v>9428424</v>
      </c>
    </row>
    <row r="2653" spans="1:2" x14ac:dyDescent="0.25">
      <c r="A2653" t="str">
        <v>Ahornvej 32, 5400 Bogense</v>
      </c>
      <c r="B2653">
        <v>9428424</v>
      </c>
    </row>
    <row r="2654" spans="1:2" x14ac:dyDescent="0.25">
      <c r="A2654" t="str">
        <v>Ahornvej 34, 5400 Bogense</v>
      </c>
      <c r="B2654">
        <v>9428424</v>
      </c>
    </row>
    <row r="2655" spans="1:2" x14ac:dyDescent="0.25">
      <c r="A2655" t="str">
        <v>Birkevej 11, 5400 Bogense</v>
      </c>
      <c r="B2655">
        <v>9428424</v>
      </c>
    </row>
    <row r="2656" spans="1:2" x14ac:dyDescent="0.25">
      <c r="A2656" t="str">
        <v>Birkevej 13, 5400 Bogense</v>
      </c>
      <c r="B2656">
        <v>9428424</v>
      </c>
    </row>
    <row r="2657" spans="1:2" x14ac:dyDescent="0.25">
      <c r="A2657" t="str">
        <v>Birkevej 15, 5400 Bogense</v>
      </c>
      <c r="B2657">
        <v>9428424</v>
      </c>
    </row>
    <row r="2658" spans="1:2" x14ac:dyDescent="0.25">
      <c r="A2658" t="str">
        <v>Birkevej 17, 5400 Bogense</v>
      </c>
      <c r="B2658">
        <v>9428424</v>
      </c>
    </row>
    <row r="2659" spans="1:2" x14ac:dyDescent="0.25">
      <c r="A2659" t="str">
        <v>Platanvej 19, 5400 Bogense</v>
      </c>
      <c r="B2659">
        <v>9428424</v>
      </c>
    </row>
    <row r="2660" spans="1:2" x14ac:dyDescent="0.25">
      <c r="A2660" t="str">
        <v>Platanvej 21, 5400 Bogense</v>
      </c>
      <c r="B2660">
        <v>9428424</v>
      </c>
    </row>
    <row r="2661" spans="1:2" x14ac:dyDescent="0.25">
      <c r="A2661" t="str">
        <v>Platanvej 23, 5400 Bogense</v>
      </c>
      <c r="B2661">
        <v>9428424</v>
      </c>
    </row>
    <row r="2662" spans="1:2" x14ac:dyDescent="0.25">
      <c r="A2662" t="str">
        <v>Platanvej 25, 5400 Bogense</v>
      </c>
      <c r="B2662">
        <v>9428424</v>
      </c>
    </row>
    <row r="2663" spans="1:2" x14ac:dyDescent="0.25">
      <c r="A2663" t="str">
        <v>Platanvej 27, 5400 Bogense</v>
      </c>
      <c r="B2663">
        <v>9428424</v>
      </c>
    </row>
    <row r="2664" spans="1:2" x14ac:dyDescent="0.25">
      <c r="A2664">
        <v>0</v>
      </c>
      <c r="B2664">
        <v>9428425</v>
      </c>
    </row>
    <row r="2665" spans="1:2" x14ac:dyDescent="0.25">
      <c r="A2665" t="str">
        <v>Svelvikparken 24, 5400 Bogense</v>
      </c>
      <c r="B2665">
        <v>9428426</v>
      </c>
    </row>
    <row r="2666" spans="1:2" x14ac:dyDescent="0.25">
      <c r="A2666" t="str">
        <v>Storkenhøjvej 73, Fogense, 5400 Bogense</v>
      </c>
      <c r="B2666">
        <v>9428427</v>
      </c>
    </row>
    <row r="2667" spans="1:2" x14ac:dyDescent="0.25">
      <c r="A2667" t="str">
        <v>Storkenhøjvej 73A, Fogense, 5400 Bogense</v>
      </c>
      <c r="B2667">
        <v>9428427</v>
      </c>
    </row>
    <row r="2668" spans="1:2" x14ac:dyDescent="0.25">
      <c r="A2668" t="str">
        <v>Storkenhøjvej 73B, Fogense, 5400 Bogense</v>
      </c>
      <c r="B2668">
        <v>9428427</v>
      </c>
    </row>
    <row r="2669" spans="1:2" x14ac:dyDescent="0.25">
      <c r="A2669" t="str">
        <v>Storkenhøjvej 97A, Fogense, 5400 Bogense</v>
      </c>
      <c r="B2669">
        <v>9428428</v>
      </c>
    </row>
    <row r="2670" spans="1:2" x14ac:dyDescent="0.25">
      <c r="A2670" t="str">
        <v>Storkenhøjvej 97A, Fogense, 5400 Bogense</v>
      </c>
      <c r="B2670">
        <v>9428428</v>
      </c>
    </row>
    <row r="2671" spans="1:2" x14ac:dyDescent="0.25">
      <c r="A2671" t="str">
        <v>Storkenhøjvej 97B, Fogense, 5400 Bogense</v>
      </c>
      <c r="B2671">
        <v>9428428</v>
      </c>
    </row>
    <row r="2672" spans="1:2" x14ac:dyDescent="0.25">
      <c r="A2672" t="str">
        <v>Storkenhøjvej 93, Fogense, 5400 Bogense</v>
      </c>
      <c r="B2672">
        <v>9428429</v>
      </c>
    </row>
    <row r="2673" spans="1:2" x14ac:dyDescent="0.25">
      <c r="A2673" t="str">
        <v>Storkenhøjvej 85, Fogense, 5400 Bogense</v>
      </c>
      <c r="B2673">
        <v>9428430</v>
      </c>
    </row>
    <row r="2674" spans="1:2" x14ac:dyDescent="0.25">
      <c r="A2674" t="str">
        <v>Storkenhøjvej 79, Fogense, 5400 Bogense</v>
      </c>
      <c r="B2674">
        <v>9428431</v>
      </c>
    </row>
    <row r="2675" spans="1:2" x14ac:dyDescent="0.25">
      <c r="A2675">
        <v>0</v>
      </c>
      <c r="B2675">
        <v>9428433</v>
      </c>
    </row>
    <row r="2676" spans="1:2" x14ac:dyDescent="0.25">
      <c r="A2676" t="str">
        <v>Industrivej 3, Almindehuse, 5400 Bogense</v>
      </c>
      <c r="B2676">
        <v>9428434</v>
      </c>
    </row>
    <row r="2677" spans="1:2" x14ac:dyDescent="0.25">
      <c r="A2677" t="str">
        <v>Fælledvej 44, Harritslev F, 5400 Bogense</v>
      </c>
      <c r="B2677">
        <v>9428438</v>
      </c>
    </row>
    <row r="2678" spans="1:2" x14ac:dyDescent="0.25">
      <c r="A2678" t="str">
        <v>Vestre Engvej 140, 5400 Bogense</v>
      </c>
      <c r="B2678">
        <v>9428439</v>
      </c>
    </row>
    <row r="2679" spans="1:2" x14ac:dyDescent="0.25">
      <c r="A2679">
        <v>0</v>
      </c>
      <c r="B2679">
        <v>9428444</v>
      </c>
    </row>
    <row r="2680" spans="1:2" x14ac:dyDescent="0.25">
      <c r="A2680">
        <v>0</v>
      </c>
      <c r="B2680">
        <v>9428445</v>
      </c>
    </row>
    <row r="2681" spans="1:2" x14ac:dyDescent="0.25">
      <c r="A2681">
        <v>0</v>
      </c>
      <c r="B2681">
        <v>9428446</v>
      </c>
    </row>
    <row r="2682" spans="1:2" x14ac:dyDescent="0.25">
      <c r="A2682">
        <v>0</v>
      </c>
      <c r="B2682">
        <v>9428447</v>
      </c>
    </row>
    <row r="2683" spans="1:2" x14ac:dyDescent="0.25">
      <c r="A2683">
        <v>0</v>
      </c>
      <c r="B2683">
        <v>9428448</v>
      </c>
    </row>
    <row r="2684" spans="1:2" x14ac:dyDescent="0.25">
      <c r="A2684">
        <v>0</v>
      </c>
      <c r="B2684">
        <v>9428449</v>
      </c>
    </row>
    <row r="2685" spans="1:2" x14ac:dyDescent="0.25">
      <c r="A2685">
        <v>0</v>
      </c>
      <c r="B2685">
        <v>9428450</v>
      </c>
    </row>
    <row r="2686" spans="1:2" x14ac:dyDescent="0.25">
      <c r="A2686">
        <v>0</v>
      </c>
      <c r="B2686">
        <v>9428451</v>
      </c>
    </row>
    <row r="2687" spans="1:2" x14ac:dyDescent="0.25">
      <c r="A2687" t="str">
        <v>Huggetvej 130, Skovby Nymark, 5400 Bogense</v>
      </c>
      <c r="B2687">
        <v>9533954</v>
      </c>
    </row>
    <row r="2688" spans="1:2" x14ac:dyDescent="0.25">
      <c r="A2688" t="str">
        <v>Trondheimparken 2, 5400 Bogense</v>
      </c>
      <c r="B2688">
        <v>9554958</v>
      </c>
    </row>
    <row r="2689" spans="1:2" x14ac:dyDescent="0.25">
      <c r="A2689" t="str">
        <v>Trondheimparken 4, 5400 Bogense</v>
      </c>
      <c r="B2689">
        <v>9554959</v>
      </c>
    </row>
    <row r="2690" spans="1:2" x14ac:dyDescent="0.25">
      <c r="A2690" t="str">
        <v>Trondheimparken 6, 5400 Bogense</v>
      </c>
      <c r="B2690">
        <v>9554960</v>
      </c>
    </row>
    <row r="2691" spans="1:2" x14ac:dyDescent="0.25">
      <c r="A2691" t="str">
        <v>Trondheimparken 10, 5400 Bogense</v>
      </c>
      <c r="B2691">
        <v>9554962</v>
      </c>
    </row>
    <row r="2692" spans="1:2" x14ac:dyDescent="0.25">
      <c r="A2692" t="str">
        <v>Trondheimparken 42, 5400 Bogense</v>
      </c>
      <c r="B2692">
        <v>9554963</v>
      </c>
    </row>
    <row r="2693" spans="1:2" x14ac:dyDescent="0.25">
      <c r="A2693" t="str">
        <v>Trondheimparken 44, 5400 Bogense</v>
      </c>
      <c r="B2693">
        <v>9554964</v>
      </c>
    </row>
    <row r="2694" spans="1:2" x14ac:dyDescent="0.25">
      <c r="A2694" t="str">
        <v>Trondheimparken 46, 5400 Bogense</v>
      </c>
      <c r="B2694">
        <v>9554965</v>
      </c>
    </row>
    <row r="2695" spans="1:2" x14ac:dyDescent="0.25">
      <c r="A2695" t="str">
        <v>Trondheimparken 48, 5400 Bogense</v>
      </c>
      <c r="B2695">
        <v>9554966</v>
      </c>
    </row>
    <row r="2696" spans="1:2" x14ac:dyDescent="0.25">
      <c r="A2696" t="str">
        <v>Kongsbergparken 1A, 5400 Bogense</v>
      </c>
      <c r="B2696">
        <v>287635</v>
      </c>
    </row>
    <row r="2697" spans="1:2" x14ac:dyDescent="0.25">
      <c r="A2697" t="str">
        <v>Kongsbergparken 1B, 5400 Bogense</v>
      </c>
      <c r="B2697">
        <v>287636</v>
      </c>
    </row>
    <row r="2698" spans="1:2" x14ac:dyDescent="0.25">
      <c r="A2698" t="str">
        <v>Kongsbergparken 1C, 5400 Bogense</v>
      </c>
      <c r="B2698">
        <v>287637</v>
      </c>
    </row>
    <row r="2699" spans="1:2" x14ac:dyDescent="0.25">
      <c r="A2699" t="str">
        <v>Kongsbergparken 1D, 5400 Bogense</v>
      </c>
      <c r="B2699">
        <v>287638</v>
      </c>
    </row>
    <row r="2700" spans="1:2" x14ac:dyDescent="0.25">
      <c r="A2700" t="str">
        <v>Kongsbergparken 1E, 5400 Bogense</v>
      </c>
      <c r="B2700">
        <v>287638</v>
      </c>
    </row>
    <row r="2701" spans="1:2" x14ac:dyDescent="0.25">
      <c r="A2701" t="str">
        <v>Kongsbergparken 1F, 5400 Bogense</v>
      </c>
      <c r="B2701">
        <v>287638</v>
      </c>
    </row>
    <row r="2702" spans="1:2" x14ac:dyDescent="0.25">
      <c r="A2702" t="str">
        <v>Kongsbergparken 1G, 5400 Bogense</v>
      </c>
      <c r="B2702">
        <v>287638</v>
      </c>
    </row>
    <row r="2703" spans="1:2" x14ac:dyDescent="0.25">
      <c r="A2703" t="str">
        <v>Kongsbergparken 1H, 5400 Bogense</v>
      </c>
      <c r="B2703">
        <v>287638</v>
      </c>
    </row>
    <row r="2704" spans="1:2" x14ac:dyDescent="0.25">
      <c r="A2704" t="str">
        <v>Kongsbergparken 1K, 5400 Bogense</v>
      </c>
      <c r="B2704">
        <v>287638</v>
      </c>
    </row>
    <row r="2705" spans="1:2" x14ac:dyDescent="0.25">
      <c r="A2705" t="str">
        <v>Kongsbergparken 1L, 5400 Bogense</v>
      </c>
      <c r="B2705">
        <v>287638</v>
      </c>
    </row>
    <row r="2706" spans="1:2" x14ac:dyDescent="0.25">
      <c r="A2706" t="str">
        <v>Kongsbergparken 1M, 5400 Bogense</v>
      </c>
      <c r="B2706">
        <v>287638</v>
      </c>
    </row>
    <row r="2707" spans="1:2" x14ac:dyDescent="0.25">
      <c r="A2707" t="str">
        <v>Kongsbergparken 1A, 5400 Bogense</v>
      </c>
      <c r="B2707">
        <v>9567696</v>
      </c>
    </row>
    <row r="2708" spans="1:2" x14ac:dyDescent="0.25">
      <c r="A2708" t="str">
        <v>Kongsbergparken 3A, 5400 Bogense</v>
      </c>
      <c r="B2708">
        <v>9567697</v>
      </c>
    </row>
    <row r="2709" spans="1:2" x14ac:dyDescent="0.25">
      <c r="A2709" t="str">
        <v>Kongsbergparken 3A, 5400 Bogense</v>
      </c>
      <c r="B2709">
        <v>9567697</v>
      </c>
    </row>
    <row r="2710" spans="1:2" x14ac:dyDescent="0.25">
      <c r="A2710" t="str">
        <v>Kongsbergparken 3B, 5400 Bogense</v>
      </c>
      <c r="B2710">
        <v>9567697</v>
      </c>
    </row>
    <row r="2711" spans="1:2" x14ac:dyDescent="0.25">
      <c r="A2711" t="str">
        <v>Kongsbergparken 3C, 5400 Bogense</v>
      </c>
      <c r="B2711">
        <v>9567697</v>
      </c>
    </row>
    <row r="2712" spans="1:2" x14ac:dyDescent="0.25">
      <c r="A2712" t="str">
        <v>Kongsbergparken 3D, 5400 Bogense</v>
      </c>
      <c r="B2712">
        <v>9567697</v>
      </c>
    </row>
    <row r="2713" spans="1:2" x14ac:dyDescent="0.25">
      <c r="A2713" t="str">
        <v>Kongsbergparken 3E, 5400 Bogense</v>
      </c>
      <c r="B2713">
        <v>9567697</v>
      </c>
    </row>
    <row r="2714" spans="1:2" x14ac:dyDescent="0.25">
      <c r="A2714" t="str">
        <v>Kongsbergparken 3F, 5400 Bogense</v>
      </c>
      <c r="B2714">
        <v>9567697</v>
      </c>
    </row>
    <row r="2715" spans="1:2" x14ac:dyDescent="0.25">
      <c r="A2715" t="str">
        <v>Kongsbergparken 3G, 5400 Bogense</v>
      </c>
      <c r="B2715">
        <v>9567697</v>
      </c>
    </row>
    <row r="2716" spans="1:2" x14ac:dyDescent="0.25">
      <c r="A2716" t="str">
        <v>Kongsbergparken 3H, 5400 Bogense</v>
      </c>
      <c r="B2716">
        <v>9567697</v>
      </c>
    </row>
    <row r="2717" spans="1:2" x14ac:dyDescent="0.25">
      <c r="A2717" t="str">
        <v>Kongsbergparken 2A, 5400 Bogense</v>
      </c>
      <c r="B2717">
        <v>9567698</v>
      </c>
    </row>
    <row r="2718" spans="1:2" x14ac:dyDescent="0.25">
      <c r="A2718" t="str">
        <v>Kongsbergparken 10A, 5400 Bogense</v>
      </c>
      <c r="B2718">
        <v>9567698</v>
      </c>
    </row>
    <row r="2719" spans="1:2" x14ac:dyDescent="0.25">
      <c r="A2719" t="str">
        <v>Kongsbergparken 10B, 5400 Bogense</v>
      </c>
      <c r="B2719">
        <v>9567698</v>
      </c>
    </row>
    <row r="2720" spans="1:2" x14ac:dyDescent="0.25">
      <c r="A2720" t="str">
        <v>Kongsbergparken 10C, 5400 Bogense</v>
      </c>
      <c r="B2720">
        <v>9567698</v>
      </c>
    </row>
    <row r="2721" spans="1:2" x14ac:dyDescent="0.25">
      <c r="A2721" t="str">
        <v>Kongsbergparken 10D, 5400 Bogense</v>
      </c>
      <c r="B2721">
        <v>9567698</v>
      </c>
    </row>
    <row r="2722" spans="1:2" x14ac:dyDescent="0.25">
      <c r="A2722" t="str">
        <v>Kongsbergparken 10E, 5400 Bogense</v>
      </c>
      <c r="B2722">
        <v>9567698</v>
      </c>
    </row>
    <row r="2723" spans="1:2" x14ac:dyDescent="0.25">
      <c r="A2723" t="str">
        <v>Kongsbergparken 2A, 5400 Bogense</v>
      </c>
      <c r="B2723">
        <v>9567698</v>
      </c>
    </row>
    <row r="2724" spans="1:2" x14ac:dyDescent="0.25">
      <c r="A2724" t="str">
        <v>Kongsbergparken 2B, 5400 Bogense</v>
      </c>
      <c r="B2724">
        <v>9567698</v>
      </c>
    </row>
    <row r="2725" spans="1:2" x14ac:dyDescent="0.25">
      <c r="A2725" t="str">
        <v>Kongsbergparken 2C, 5400 Bogense</v>
      </c>
      <c r="B2725">
        <v>9567698</v>
      </c>
    </row>
    <row r="2726" spans="1:2" x14ac:dyDescent="0.25">
      <c r="A2726" t="str">
        <v>Kongsbergparken 2D, 5400 Bogense</v>
      </c>
      <c r="B2726">
        <v>9567698</v>
      </c>
    </row>
    <row r="2727" spans="1:2" x14ac:dyDescent="0.25">
      <c r="A2727" t="str">
        <v>Kongsbergparken 2E, 5400 Bogense</v>
      </c>
      <c r="B2727">
        <v>9567698</v>
      </c>
    </row>
    <row r="2728" spans="1:2" x14ac:dyDescent="0.25">
      <c r="A2728" t="str">
        <v>Kongsbergparken 4A, 5400 Bogense</v>
      </c>
      <c r="B2728">
        <v>9567698</v>
      </c>
    </row>
    <row r="2729" spans="1:2" x14ac:dyDescent="0.25">
      <c r="A2729" t="str">
        <v>Kongsbergparken 4B, 5400 Bogense</v>
      </c>
      <c r="B2729">
        <v>9567698</v>
      </c>
    </row>
    <row r="2730" spans="1:2" x14ac:dyDescent="0.25">
      <c r="A2730" t="str">
        <v>Kongsbergparken 4C, 5400 Bogense</v>
      </c>
      <c r="B2730">
        <v>9567698</v>
      </c>
    </row>
    <row r="2731" spans="1:2" x14ac:dyDescent="0.25">
      <c r="A2731" t="str">
        <v>Kongsbergparken 4D, 5400 Bogense</v>
      </c>
      <c r="B2731">
        <v>9567698</v>
      </c>
    </row>
    <row r="2732" spans="1:2" x14ac:dyDescent="0.25">
      <c r="A2732" t="str">
        <v>Kongsbergparken 4E, 5400 Bogense</v>
      </c>
      <c r="B2732">
        <v>9567698</v>
      </c>
    </row>
    <row r="2733" spans="1:2" x14ac:dyDescent="0.25">
      <c r="A2733" t="str">
        <v>Kongsbergparken 4F, 5400 Bogense</v>
      </c>
      <c r="B2733">
        <v>9567698</v>
      </c>
    </row>
    <row r="2734" spans="1:2" x14ac:dyDescent="0.25">
      <c r="A2734" t="str">
        <v>Kongsbergparken 4G, 5400 Bogense</v>
      </c>
      <c r="B2734">
        <v>9567698</v>
      </c>
    </row>
    <row r="2735" spans="1:2" x14ac:dyDescent="0.25">
      <c r="A2735" t="str">
        <v>Kongsbergparken 4H, 5400 Bogense</v>
      </c>
      <c r="B2735">
        <v>9567698</v>
      </c>
    </row>
    <row r="2736" spans="1:2" x14ac:dyDescent="0.25">
      <c r="A2736" t="str">
        <v>Kongsbergparken 6A, 5400 Bogense</v>
      </c>
      <c r="B2736">
        <v>9567698</v>
      </c>
    </row>
    <row r="2737" spans="1:2" x14ac:dyDescent="0.25">
      <c r="A2737" t="str">
        <v>Kongsbergparken 6B, 5400 Bogense</v>
      </c>
      <c r="B2737">
        <v>9567698</v>
      </c>
    </row>
    <row r="2738" spans="1:2" x14ac:dyDescent="0.25">
      <c r="A2738" t="str">
        <v>Kongsbergparken 6C, 5400 Bogense</v>
      </c>
      <c r="B2738">
        <v>9567698</v>
      </c>
    </row>
    <row r="2739" spans="1:2" x14ac:dyDescent="0.25">
      <c r="A2739" t="str">
        <v>Kongsbergparken 6D, 5400 Bogense</v>
      </c>
      <c r="B2739">
        <v>9567698</v>
      </c>
    </row>
    <row r="2740" spans="1:2" x14ac:dyDescent="0.25">
      <c r="A2740" t="str">
        <v>Kongsbergparken 6E, 5400 Bogense</v>
      </c>
      <c r="B2740">
        <v>9567698</v>
      </c>
    </row>
    <row r="2741" spans="1:2" x14ac:dyDescent="0.25">
      <c r="A2741" t="str">
        <v>Kongsbergparken 6F, 5400 Bogense</v>
      </c>
      <c r="B2741">
        <v>9567698</v>
      </c>
    </row>
    <row r="2742" spans="1:2" x14ac:dyDescent="0.25">
      <c r="A2742" t="str">
        <v>Kongsbergparken 6G, 5400 Bogense</v>
      </c>
      <c r="B2742">
        <v>9567698</v>
      </c>
    </row>
    <row r="2743" spans="1:2" x14ac:dyDescent="0.25">
      <c r="A2743" t="str">
        <v>Kongsbergparken 8A, 5400 Bogense</v>
      </c>
      <c r="B2743">
        <v>9567698</v>
      </c>
    </row>
    <row r="2744" spans="1:2" x14ac:dyDescent="0.25">
      <c r="A2744" t="str">
        <v>Kongsbergparken 8B, 5400 Bogense</v>
      </c>
      <c r="B2744">
        <v>9567698</v>
      </c>
    </row>
    <row r="2745" spans="1:2" x14ac:dyDescent="0.25">
      <c r="A2745" t="str">
        <v>Kongsbergparken 8C, 5400 Bogense</v>
      </c>
      <c r="B2745">
        <v>9567698</v>
      </c>
    </row>
    <row r="2746" spans="1:2" x14ac:dyDescent="0.25">
      <c r="A2746" t="str">
        <v>Kongsbergparken 8D, 5400 Bogense</v>
      </c>
      <c r="B2746">
        <v>9567698</v>
      </c>
    </row>
    <row r="2747" spans="1:2" x14ac:dyDescent="0.25">
      <c r="A2747" t="str">
        <v>Kongsbergparken 8E, 5400 Bogense</v>
      </c>
      <c r="B2747">
        <v>9567698</v>
      </c>
    </row>
    <row r="2748" spans="1:2" x14ac:dyDescent="0.25">
      <c r="A2748" t="str">
        <v>Kongsbergparken 8F, 5400 Bogense</v>
      </c>
      <c r="B2748">
        <v>9567698</v>
      </c>
    </row>
    <row r="2749" spans="1:2" x14ac:dyDescent="0.25">
      <c r="A2749">
        <v>0</v>
      </c>
      <c r="B2749">
        <v>9567699</v>
      </c>
    </row>
    <row r="2750" spans="1:2" x14ac:dyDescent="0.25">
      <c r="A2750" t="str">
        <v>Hornskovvej 2, Harritslev F, 5400 Bogense</v>
      </c>
      <c r="B2750">
        <v>9599937</v>
      </c>
    </row>
    <row r="2751" spans="1:2" x14ac:dyDescent="0.25">
      <c r="A2751" t="str">
        <v>Mejerivej 14, 5400 Bogense</v>
      </c>
      <c r="B2751">
        <v>9620968</v>
      </c>
    </row>
    <row r="2752" spans="1:2" x14ac:dyDescent="0.25">
      <c r="A2752" t="str">
        <v>Kristianslundsvej 3, Dammene, 5400 Bogense</v>
      </c>
      <c r="B2752">
        <v>9690112</v>
      </c>
    </row>
    <row r="2753" spans="1:2" x14ac:dyDescent="0.25">
      <c r="A2753" t="str">
        <v>Abildvej 3, 5400 Bogense</v>
      </c>
      <c r="B2753">
        <v>9745441</v>
      </c>
    </row>
    <row r="2754" spans="1:2" x14ac:dyDescent="0.25">
      <c r="A2754" t="str">
        <v>Bogmose 17, Eskilstrup, 5400 Bogense</v>
      </c>
      <c r="B2754">
        <v>9761689</v>
      </c>
    </row>
    <row r="2755" spans="1:2" x14ac:dyDescent="0.25">
      <c r="A2755" t="str">
        <v>Trondheimparken 12, 5400 Bogense</v>
      </c>
      <c r="B2755">
        <v>9762261</v>
      </c>
    </row>
    <row r="2756" spans="1:2" x14ac:dyDescent="0.25">
      <c r="A2756" t="str">
        <v>Trondheimparken 40, 5400 Bogense</v>
      </c>
      <c r="B2756">
        <v>9762262</v>
      </c>
    </row>
    <row r="2757" spans="1:2" x14ac:dyDescent="0.25">
      <c r="A2757" t="str">
        <v>Trondheimparken 14, 5400 Bogense</v>
      </c>
      <c r="B2757">
        <v>9762263</v>
      </c>
    </row>
    <row r="2758" spans="1:2" x14ac:dyDescent="0.25">
      <c r="A2758" t="str">
        <v>Trondheimparken 18, 5400 Bogense</v>
      </c>
      <c r="B2758">
        <v>9762264</v>
      </c>
    </row>
    <row r="2759" spans="1:2" x14ac:dyDescent="0.25">
      <c r="A2759" t="str">
        <v>Trondheimparken 20, 5400 Bogense</v>
      </c>
      <c r="B2759">
        <v>9762265</v>
      </c>
    </row>
    <row r="2760" spans="1:2" x14ac:dyDescent="0.25">
      <c r="A2760" t="str">
        <v>Trondheimparken 22, 5400 Bogense</v>
      </c>
      <c r="B2760">
        <v>9762266</v>
      </c>
    </row>
    <row r="2761" spans="1:2" x14ac:dyDescent="0.25">
      <c r="A2761" t="str">
        <v>Trondheimparken 24, 5400 Bogense</v>
      </c>
      <c r="B2761">
        <v>9762267</v>
      </c>
    </row>
    <row r="2762" spans="1:2" x14ac:dyDescent="0.25">
      <c r="A2762" t="str">
        <v>Trondheimparken 26, 5400 Bogense</v>
      </c>
      <c r="B2762">
        <v>9762268</v>
      </c>
    </row>
    <row r="2763" spans="1:2" x14ac:dyDescent="0.25">
      <c r="A2763" t="str">
        <v>Trondheimparken 28, 5400 Bogense</v>
      </c>
      <c r="B2763">
        <v>9762269</v>
      </c>
    </row>
    <row r="2764" spans="1:2" x14ac:dyDescent="0.25">
      <c r="A2764" t="str">
        <v>Trondheimparken 30, 5400 Bogense</v>
      </c>
      <c r="B2764">
        <v>9762270</v>
      </c>
    </row>
    <row r="2765" spans="1:2" x14ac:dyDescent="0.25">
      <c r="A2765" t="str">
        <v>Trondheimparken 32, 5400 Bogense</v>
      </c>
      <c r="B2765">
        <v>9762271</v>
      </c>
    </row>
    <row r="2766" spans="1:2" x14ac:dyDescent="0.25">
      <c r="A2766" t="str">
        <v>Trondheimparken 34, 5400 Bogense</v>
      </c>
      <c r="B2766">
        <v>9762272</v>
      </c>
    </row>
    <row r="2767" spans="1:2" x14ac:dyDescent="0.25">
      <c r="A2767" t="str">
        <v>Trondheimparken 36, 5400 Bogense</v>
      </c>
      <c r="B2767">
        <v>9762273</v>
      </c>
    </row>
    <row r="2768" spans="1:2" x14ac:dyDescent="0.25">
      <c r="A2768" t="str">
        <v>Trondheimparken 38, 5400 Bogense</v>
      </c>
      <c r="B2768">
        <v>9762274</v>
      </c>
    </row>
    <row r="2769" spans="1:2" x14ac:dyDescent="0.25">
      <c r="A2769" t="str">
        <v>Skovbrovej 11, 5400 Bogense</v>
      </c>
      <c r="B2769">
        <v>9823111</v>
      </c>
    </row>
    <row r="2770" spans="1:2" x14ac:dyDescent="0.25">
      <c r="A2770" t="str">
        <v>Sjællandsvej 4, 5400 Bogense</v>
      </c>
      <c r="B2770">
        <v>9861885</v>
      </c>
    </row>
    <row r="2771" spans="1:2" x14ac:dyDescent="0.25">
      <c r="A2771" t="str">
        <v>Jyllandsvej 8, 5400 Bogense</v>
      </c>
      <c r="B2771">
        <v>9861886</v>
      </c>
    </row>
    <row r="2772" spans="1:2" x14ac:dyDescent="0.25">
      <c r="A2772">
        <v>0</v>
      </c>
      <c r="B2772">
        <v>9862152</v>
      </c>
    </row>
    <row r="2773" spans="1:2" x14ac:dyDescent="0.25">
      <c r="A2773" t="str">
        <v>Vestre Engvej 2, 5400 Bogense</v>
      </c>
      <c r="B2773">
        <v>9862153</v>
      </c>
    </row>
    <row r="2774" spans="1:2" x14ac:dyDescent="0.25">
      <c r="A2774" t="str">
        <v>Vestre Engvej 34A, 5400 Bogense</v>
      </c>
      <c r="B2774">
        <v>9862154</v>
      </c>
    </row>
    <row r="2775" spans="1:2" x14ac:dyDescent="0.25">
      <c r="A2775" t="str">
        <v>Vestre Engvej 100, 5400 Bogense</v>
      </c>
      <c r="B2775">
        <v>9862155</v>
      </c>
    </row>
    <row r="2776" spans="1:2" x14ac:dyDescent="0.25">
      <c r="A2776" t="str">
        <v>Vestergade 16A, 5400 Bogense</v>
      </c>
      <c r="B2776">
        <v>733020</v>
      </c>
    </row>
    <row r="2777" spans="1:2" x14ac:dyDescent="0.25">
      <c r="A2777" t="str">
        <v>Vestergade 16A, 5400 Bogense</v>
      </c>
      <c r="B2777">
        <v>9862158</v>
      </c>
    </row>
    <row r="2778" spans="1:2" x14ac:dyDescent="0.25">
      <c r="A2778" t="str">
        <v>Vestergade 16A, 5400 Bogense</v>
      </c>
      <c r="B2778">
        <v>9862158</v>
      </c>
    </row>
    <row r="2779" spans="1:2" x14ac:dyDescent="0.25">
      <c r="A2779" t="str">
        <v>Vestergade 16A, 5400 Bogense</v>
      </c>
      <c r="B2779">
        <v>9862158</v>
      </c>
    </row>
    <row r="2780" spans="1:2" x14ac:dyDescent="0.25">
      <c r="A2780" t="str">
        <v>Vestergade 16B, 5400 Bogense</v>
      </c>
      <c r="B2780">
        <v>9862158</v>
      </c>
    </row>
    <row r="2781" spans="1:2" x14ac:dyDescent="0.25">
      <c r="A2781" t="str">
        <v>Vestergade 18, 5400 Bogense</v>
      </c>
      <c r="B2781">
        <v>9862158</v>
      </c>
    </row>
    <row r="2782" spans="1:2" x14ac:dyDescent="0.25">
      <c r="A2782">
        <v>0</v>
      </c>
      <c r="B2782">
        <v>9915427</v>
      </c>
    </row>
    <row r="2783" spans="1:2" x14ac:dyDescent="0.25">
      <c r="A2783" t="str">
        <v>Jyllandsvej 19, 5400 Bogense</v>
      </c>
      <c r="B2783">
        <v>9954105</v>
      </c>
    </row>
    <row r="2784" spans="1:2" x14ac:dyDescent="0.25">
      <c r="A2784" t="str">
        <v>Bodøparken 16, 5400 Bogense</v>
      </c>
      <c r="B2784">
        <v>9960329</v>
      </c>
    </row>
    <row r="2785" spans="1:2" x14ac:dyDescent="0.25">
      <c r="A2785" t="str">
        <v>Bodøparken 18, 5400 Bogense</v>
      </c>
      <c r="B2785">
        <v>9960330</v>
      </c>
    </row>
    <row r="2786" spans="1:2" x14ac:dyDescent="0.25">
      <c r="A2786" t="str">
        <v>Bodøparken 20, 5400 Bogense</v>
      </c>
      <c r="B2786">
        <v>9960331</v>
      </c>
    </row>
    <row r="2787" spans="1:2" x14ac:dyDescent="0.25">
      <c r="A2787" t="str">
        <v>Bodøparken 22, 5400 Bogense</v>
      </c>
      <c r="B2787">
        <v>9960332</v>
      </c>
    </row>
    <row r="2788" spans="1:2" x14ac:dyDescent="0.25">
      <c r="A2788" t="str">
        <v>Bodøparken 24, 5400 Bogense</v>
      </c>
      <c r="B2788">
        <v>9960333</v>
      </c>
    </row>
    <row r="2789" spans="1:2" x14ac:dyDescent="0.25">
      <c r="A2789" t="str">
        <v>Bodøparken 26, 5400 Bogense</v>
      </c>
      <c r="B2789">
        <v>9960334</v>
      </c>
    </row>
    <row r="2790" spans="1:2" x14ac:dyDescent="0.25">
      <c r="A2790" t="str">
        <v>Bodøparken 28, 5400 Bogense</v>
      </c>
      <c r="B2790">
        <v>9960335</v>
      </c>
    </row>
    <row r="2791" spans="1:2" x14ac:dyDescent="0.25">
      <c r="A2791" t="str">
        <v>Bodøparken 30, 5400 Bogense</v>
      </c>
      <c r="B2791">
        <v>9960336</v>
      </c>
    </row>
    <row r="2792" spans="1:2" x14ac:dyDescent="0.25">
      <c r="A2792" t="str">
        <v>Bodøparken 32, 5400 Bogense</v>
      </c>
      <c r="B2792">
        <v>9960337</v>
      </c>
    </row>
    <row r="2793" spans="1:2" x14ac:dyDescent="0.25">
      <c r="A2793" t="str">
        <v>Ømosevej 17, Kassemose, 5400 Bogense</v>
      </c>
      <c r="B2793">
        <v>9960958</v>
      </c>
    </row>
    <row r="2794" spans="1:2" x14ac:dyDescent="0.25">
      <c r="A2794" t="str">
        <v>Oslovej 39, 5400 Bogense</v>
      </c>
      <c r="B2794">
        <v>9961570</v>
      </c>
    </row>
    <row r="2795" spans="1:2" x14ac:dyDescent="0.25">
      <c r="A2795" t="str">
        <v>Oslovej 41, 5400 Bogense</v>
      </c>
      <c r="B2795">
        <v>9961571</v>
      </c>
    </row>
    <row r="2796" spans="1:2" x14ac:dyDescent="0.25">
      <c r="A2796" t="str">
        <v>Oslovej 35, 5400 Bogense</v>
      </c>
      <c r="B2796">
        <v>9961572</v>
      </c>
    </row>
    <row r="2797" spans="1:2" x14ac:dyDescent="0.25">
      <c r="A2797" t="str">
        <v>Oslovej 37, 5400 Bogense</v>
      </c>
      <c r="B2797">
        <v>9961573</v>
      </c>
    </row>
    <row r="2798" spans="1:2" x14ac:dyDescent="0.25">
      <c r="A2798" t="str">
        <v>Oslovej 33, 5400 Bogense</v>
      </c>
      <c r="B2798">
        <v>9961574</v>
      </c>
    </row>
    <row r="2799" spans="1:2" x14ac:dyDescent="0.25">
      <c r="A2799" t="str">
        <v>Oslovej 31, 5400 Bogense</v>
      </c>
      <c r="B2799">
        <v>9961575</v>
      </c>
    </row>
    <row r="2800" spans="1:2" x14ac:dyDescent="0.25">
      <c r="A2800" t="str">
        <v>Vestergade 24, 5400 Bogense</v>
      </c>
      <c r="B2800">
        <v>733023</v>
      </c>
    </row>
    <row r="2801" spans="1:2" x14ac:dyDescent="0.25">
      <c r="A2801" t="str">
        <v>Vestergade 24, 5400 Bogense</v>
      </c>
      <c r="B2801">
        <v>9961576</v>
      </c>
    </row>
    <row r="2802" spans="1:2" x14ac:dyDescent="0.25">
      <c r="A2802" t="str">
        <v>Vestre Engvej 127, st. tv, 5400 Bogense</v>
      </c>
      <c r="B2802">
        <v>287659</v>
      </c>
    </row>
    <row r="2803" spans="1:2" x14ac:dyDescent="0.25">
      <c r="A2803" t="str">
        <v>Vestre Engvej 127, 1. tv, 5400 Bogense</v>
      </c>
      <c r="B2803">
        <v>287660</v>
      </c>
    </row>
    <row r="2804" spans="1:2" x14ac:dyDescent="0.25">
      <c r="A2804" t="str">
        <v>Vestre Engvej 127, 1. th, 5400 Bogense</v>
      </c>
      <c r="B2804">
        <v>287661</v>
      </c>
    </row>
    <row r="2805" spans="1:2" x14ac:dyDescent="0.25">
      <c r="A2805" t="str">
        <v>Vestre Engvej 127, 5400 Bogense</v>
      </c>
      <c r="B2805">
        <v>9976119</v>
      </c>
    </row>
    <row r="2806" spans="1:2" x14ac:dyDescent="0.25">
      <c r="A2806" t="str">
        <v>Huggetvej 21, 5400 Bogense</v>
      </c>
      <c r="B2806">
        <v>9983766</v>
      </c>
    </row>
    <row r="2807" spans="1:2" x14ac:dyDescent="0.25">
      <c r="A2807" t="str">
        <v>Kirkemosevej 2, Nr Sandager, 5400 Bogense</v>
      </c>
      <c r="B2807">
        <v>10012568</v>
      </c>
    </row>
    <row r="2808" spans="1:2" x14ac:dyDescent="0.25">
      <c r="A2808" t="str">
        <v>Kristianslundsvej 17, Kristianslund, 5400 Bogense</v>
      </c>
      <c r="B2808">
        <v>10012572</v>
      </c>
    </row>
    <row r="2809" spans="1:2" x14ac:dyDescent="0.25">
      <c r="A2809" t="str">
        <v>Kristianslundsvej 15A, Kristianslund, 5400 Bogense</v>
      </c>
      <c r="B2809">
        <v>10012574</v>
      </c>
    </row>
    <row r="2810" spans="1:2" x14ac:dyDescent="0.25">
      <c r="A2810" t="str">
        <v>Huggetvej 31, Bogense Mark, 5400 Bogense</v>
      </c>
      <c r="B2810">
        <v>10014509</v>
      </c>
    </row>
    <row r="2811" spans="1:2" x14ac:dyDescent="0.25">
      <c r="A2811" t="str">
        <v>Burskovvej 1, Gyldensteen, 5400 Bogense</v>
      </c>
      <c r="B2811">
        <v>10015262</v>
      </c>
    </row>
    <row r="2812" spans="1:2" x14ac:dyDescent="0.25">
      <c r="A2812" t="str">
        <v>Vestre Engvej 128, st. tv, 5400 Bogense</v>
      </c>
      <c r="B2812">
        <v>287662</v>
      </c>
    </row>
    <row r="2813" spans="1:2" x14ac:dyDescent="0.25">
      <c r="A2813" t="str">
        <v>Vestre Engvej 130, 1. tv, 5400 Bogense</v>
      </c>
      <c r="B2813">
        <v>287663</v>
      </c>
    </row>
    <row r="2814" spans="1:2" x14ac:dyDescent="0.25">
      <c r="A2814" t="str">
        <v>Vestre Engvej 130, 1. th, 5400 Bogense</v>
      </c>
      <c r="B2814">
        <v>287664</v>
      </c>
    </row>
    <row r="2815" spans="1:2" x14ac:dyDescent="0.25">
      <c r="A2815" t="str">
        <v>Vestre Engvej 128, st. th, 5400 Bogense</v>
      </c>
      <c r="B2815">
        <v>287665</v>
      </c>
    </row>
    <row r="2816" spans="1:2" x14ac:dyDescent="0.25">
      <c r="A2816" t="str">
        <v>Vestre Engvej 128, 1. tv, 5400 Bogense</v>
      </c>
      <c r="B2816">
        <v>287666</v>
      </c>
    </row>
    <row r="2817" spans="1:2" x14ac:dyDescent="0.25">
      <c r="A2817" t="str">
        <v>Vestre Engvej 128, 1. th, 5400 Bogense</v>
      </c>
      <c r="B2817">
        <v>287667</v>
      </c>
    </row>
    <row r="2818" spans="1:2" x14ac:dyDescent="0.25">
      <c r="A2818" t="str">
        <v>Vestre Engvej 129, st. tv, 5400 Bogense</v>
      </c>
      <c r="B2818">
        <v>287668</v>
      </c>
    </row>
    <row r="2819" spans="1:2" x14ac:dyDescent="0.25">
      <c r="A2819" t="str">
        <v>Vestre Engvej 129, st. th, 5400 Bogense</v>
      </c>
      <c r="B2819">
        <v>287669</v>
      </c>
    </row>
    <row r="2820" spans="1:2" x14ac:dyDescent="0.25">
      <c r="A2820" t="str">
        <v>Vestre Engvej 129, 1. tv, 5400 Bogense</v>
      </c>
      <c r="B2820">
        <v>287670</v>
      </c>
    </row>
    <row r="2821" spans="1:2" x14ac:dyDescent="0.25">
      <c r="A2821" t="str">
        <v>Vestre Engvej 129, 1. th, 5400 Bogense</v>
      </c>
      <c r="B2821">
        <v>287671</v>
      </c>
    </row>
    <row r="2822" spans="1:2" x14ac:dyDescent="0.25">
      <c r="A2822" t="str">
        <v>Vestre Engvej 130, st. tv, 5400 Bogense</v>
      </c>
      <c r="B2822">
        <v>287672</v>
      </c>
    </row>
    <row r="2823" spans="1:2" x14ac:dyDescent="0.25">
      <c r="A2823" t="str">
        <v>Vestre Engvej 128, 5400 Bogense</v>
      </c>
      <c r="B2823">
        <v>10030361</v>
      </c>
    </row>
    <row r="2824" spans="1:2" x14ac:dyDescent="0.25">
      <c r="A2824" t="str">
        <v>Gyldensteensvej 65, 5400 Bogense</v>
      </c>
      <c r="B2824">
        <v>10031293</v>
      </c>
    </row>
    <row r="2825" spans="1:2" x14ac:dyDescent="0.25">
      <c r="A2825" t="str">
        <v>Fynsvej 9, 5400 Bogense</v>
      </c>
      <c r="B2825">
        <v>10041169</v>
      </c>
    </row>
    <row r="2826" spans="1:2" x14ac:dyDescent="0.25">
      <c r="A2826" t="str">
        <v>Fynsvej 9, 5400 Bogense</v>
      </c>
      <c r="B2826">
        <v>10041169</v>
      </c>
    </row>
    <row r="2827" spans="1:2" x14ac:dyDescent="0.25">
      <c r="A2827" t="str">
        <v>Fynsvej 9, 5400 Bogense</v>
      </c>
      <c r="B2827">
        <v>10041169</v>
      </c>
    </row>
    <row r="2828" spans="1:2" x14ac:dyDescent="0.25">
      <c r="A2828" t="str">
        <v>Fynsvej 7, 5400 Bogense</v>
      </c>
      <c r="B2828">
        <v>10041170</v>
      </c>
    </row>
    <row r="2829" spans="1:2" x14ac:dyDescent="0.25">
      <c r="A2829" t="str">
        <v>Fynsvej 7, 5400 Bogense</v>
      </c>
      <c r="B2829">
        <v>10041170</v>
      </c>
    </row>
    <row r="2830" spans="1:2" x14ac:dyDescent="0.25">
      <c r="A2830" t="str">
        <v>Fynsvej 7, 5400 Bogense</v>
      </c>
      <c r="B2830">
        <v>10041170</v>
      </c>
    </row>
    <row r="2831" spans="1:2" x14ac:dyDescent="0.25">
      <c r="A2831" t="str">
        <v>Vestre Engvej 125, st. tv, 5400 Bogense</v>
      </c>
      <c r="B2831">
        <v>287673</v>
      </c>
    </row>
    <row r="2832" spans="1:2" x14ac:dyDescent="0.25">
      <c r="A2832" t="str">
        <v>Vestre Engvej 125, st. th, 5400 Bogense</v>
      </c>
      <c r="B2832">
        <v>287674</v>
      </c>
    </row>
    <row r="2833" spans="1:2" x14ac:dyDescent="0.25">
      <c r="A2833" t="str">
        <v>Vestre Engvej 125, 1. tv, 5400 Bogense</v>
      </c>
      <c r="B2833">
        <v>287675</v>
      </c>
    </row>
    <row r="2834" spans="1:2" x14ac:dyDescent="0.25">
      <c r="A2834" t="str">
        <v>Vestre Engvej 125, 1. th, 5400 Bogense</v>
      </c>
      <c r="B2834">
        <v>287676</v>
      </c>
    </row>
    <row r="2835" spans="1:2" x14ac:dyDescent="0.25">
      <c r="A2835" t="str">
        <v>Vestre Engvej 126, st. tv, 5400 Bogense</v>
      </c>
      <c r="B2835">
        <v>287677</v>
      </c>
    </row>
    <row r="2836" spans="1:2" x14ac:dyDescent="0.25">
      <c r="A2836" t="str">
        <v>Vestre Engvej 126, st. th, 5400 Bogense</v>
      </c>
      <c r="B2836">
        <v>287678</v>
      </c>
    </row>
    <row r="2837" spans="1:2" x14ac:dyDescent="0.25">
      <c r="A2837" t="str">
        <v>Vestre Engvej 126, 1. tv, 5400 Bogense</v>
      </c>
      <c r="B2837">
        <v>287679</v>
      </c>
    </row>
    <row r="2838" spans="1:2" x14ac:dyDescent="0.25">
      <c r="A2838" t="str">
        <v>Vestre Engvej 126, 1. th, 5400 Bogense</v>
      </c>
      <c r="B2838">
        <v>287680</v>
      </c>
    </row>
    <row r="2839" spans="1:2" x14ac:dyDescent="0.25">
      <c r="A2839" t="str">
        <v>Vestre Engvej 125, 5400 Bogense</v>
      </c>
      <c r="B2839">
        <v>10055579</v>
      </c>
    </row>
    <row r="2840" spans="1:2" x14ac:dyDescent="0.25">
      <c r="A2840" t="str">
        <v>Vestre Engvej 122, st. tv, 5400 Bogense</v>
      </c>
      <c r="B2840">
        <v>287681</v>
      </c>
    </row>
    <row r="2841" spans="1:2" x14ac:dyDescent="0.25">
      <c r="A2841" t="str">
        <v>Vestre Engvej 124, 1. tv, 5400 Bogense</v>
      </c>
      <c r="B2841">
        <v>287682</v>
      </c>
    </row>
    <row r="2842" spans="1:2" x14ac:dyDescent="0.25">
      <c r="A2842" t="str">
        <v>Vestre Engvej 124, 1. th, 5400 Bogense</v>
      </c>
      <c r="B2842">
        <v>287683</v>
      </c>
    </row>
    <row r="2843" spans="1:2" x14ac:dyDescent="0.25">
      <c r="A2843" t="str">
        <v>Vestre Engvej 122, 1. tv, 5400 Bogense</v>
      </c>
      <c r="B2843">
        <v>287684</v>
      </c>
    </row>
    <row r="2844" spans="1:2" x14ac:dyDescent="0.25">
      <c r="A2844" t="str">
        <v>Vestre Engvej 122, 1. th, 5400 Bogense</v>
      </c>
      <c r="B2844">
        <v>287685</v>
      </c>
    </row>
    <row r="2845" spans="1:2" x14ac:dyDescent="0.25">
      <c r="A2845" t="str">
        <v>Vestre Engvej 123, st. tv, 5400 Bogense</v>
      </c>
      <c r="B2845">
        <v>287686</v>
      </c>
    </row>
    <row r="2846" spans="1:2" x14ac:dyDescent="0.25">
      <c r="A2846" t="str">
        <v>Vestre Engvej 123, st. th, 5400 Bogense</v>
      </c>
      <c r="B2846">
        <v>287687</v>
      </c>
    </row>
    <row r="2847" spans="1:2" x14ac:dyDescent="0.25">
      <c r="A2847" t="str">
        <v>Vestre Engvej 123, 1. tv, 5400 Bogense</v>
      </c>
      <c r="B2847">
        <v>287688</v>
      </c>
    </row>
    <row r="2848" spans="1:2" x14ac:dyDescent="0.25">
      <c r="A2848" t="str">
        <v>Vestre Engvej 123, 1. th, 5400 Bogense</v>
      </c>
      <c r="B2848">
        <v>287689</v>
      </c>
    </row>
    <row r="2849" spans="1:2" x14ac:dyDescent="0.25">
      <c r="A2849" t="str">
        <v>Vestre Engvej 124, st. tv, 5400 Bogense</v>
      </c>
      <c r="B2849">
        <v>287690</v>
      </c>
    </row>
    <row r="2850" spans="1:2" x14ac:dyDescent="0.25">
      <c r="A2850" t="str">
        <v>Vestre Engvej 124, st. th, 5400 Bogense</v>
      </c>
      <c r="B2850">
        <v>287691</v>
      </c>
    </row>
    <row r="2851" spans="1:2" x14ac:dyDescent="0.25">
      <c r="A2851" t="str">
        <v>Vestre Engvej 122, 5400 Bogense</v>
      </c>
      <c r="B2851">
        <v>10055580</v>
      </c>
    </row>
    <row r="2852" spans="1:2" x14ac:dyDescent="0.25">
      <c r="A2852" t="str">
        <v>Vestre Engvej 119, st. tv, 5400 Bogense</v>
      </c>
      <c r="B2852">
        <v>287692</v>
      </c>
    </row>
    <row r="2853" spans="1:2" x14ac:dyDescent="0.25">
      <c r="A2853" t="str">
        <v>Vestre Engvej 121, st. th, 5400 Bogense</v>
      </c>
      <c r="B2853">
        <v>287693</v>
      </c>
    </row>
    <row r="2854" spans="1:2" x14ac:dyDescent="0.25">
      <c r="A2854" t="str">
        <v>Vestre Engvej 121, 1. tv, 5400 Bogense</v>
      </c>
      <c r="B2854">
        <v>287694</v>
      </c>
    </row>
    <row r="2855" spans="1:2" x14ac:dyDescent="0.25">
      <c r="A2855" t="str">
        <v>Vestre Engvej 121, 1. th, 5400 Bogense</v>
      </c>
      <c r="B2855">
        <v>287695</v>
      </c>
    </row>
    <row r="2856" spans="1:2" x14ac:dyDescent="0.25">
      <c r="A2856" t="str">
        <v>Vestre Engvej 119, st. th, 5400 Bogense</v>
      </c>
      <c r="B2856">
        <v>287696</v>
      </c>
    </row>
    <row r="2857" spans="1:2" x14ac:dyDescent="0.25">
      <c r="A2857" t="str">
        <v>Vestre Engvej 119, 1. tv, 5400 Bogense</v>
      </c>
      <c r="B2857">
        <v>287697</v>
      </c>
    </row>
    <row r="2858" spans="1:2" x14ac:dyDescent="0.25">
      <c r="A2858" t="str">
        <v>Vestre Engvej 119, 1. th, 5400 Bogense</v>
      </c>
      <c r="B2858">
        <v>287698</v>
      </c>
    </row>
    <row r="2859" spans="1:2" x14ac:dyDescent="0.25">
      <c r="A2859" t="str">
        <v>Vestre Engvej 120, st. tv, 5400 Bogense</v>
      </c>
      <c r="B2859">
        <v>287699</v>
      </c>
    </row>
    <row r="2860" spans="1:2" x14ac:dyDescent="0.25">
      <c r="A2860" t="str">
        <v>Vestre Engvej 120, st. th, 5400 Bogense</v>
      </c>
      <c r="B2860">
        <v>287700</v>
      </c>
    </row>
    <row r="2861" spans="1:2" x14ac:dyDescent="0.25">
      <c r="A2861" t="str">
        <v>Vestre Engvej 120, 1. tv, 5400 Bogense</v>
      </c>
      <c r="B2861">
        <v>287701</v>
      </c>
    </row>
    <row r="2862" spans="1:2" x14ac:dyDescent="0.25">
      <c r="A2862" t="str">
        <v>Vestre Engvej 120, 1. th, 5400 Bogense</v>
      </c>
      <c r="B2862">
        <v>287702</v>
      </c>
    </row>
    <row r="2863" spans="1:2" x14ac:dyDescent="0.25">
      <c r="A2863" t="str">
        <v>Vestre Engvej 121, st. tv, 5400 Bogense</v>
      </c>
      <c r="B2863">
        <v>287703</v>
      </c>
    </row>
    <row r="2864" spans="1:2" x14ac:dyDescent="0.25">
      <c r="A2864" t="str">
        <v>Vestre Engvej 119, 5400 Bogense</v>
      </c>
      <c r="B2864">
        <v>10055581</v>
      </c>
    </row>
    <row r="2865" spans="1:2" x14ac:dyDescent="0.25">
      <c r="A2865" t="str">
        <v>Vestre Engvej 116, st. tv, 5400 Bogense</v>
      </c>
      <c r="B2865">
        <v>287704</v>
      </c>
    </row>
    <row r="2866" spans="1:2" x14ac:dyDescent="0.25">
      <c r="A2866" t="str">
        <v>Vestre Engvej 118, 1. th, 5400 Bogense</v>
      </c>
      <c r="B2866">
        <v>287705</v>
      </c>
    </row>
    <row r="2867" spans="1:2" x14ac:dyDescent="0.25">
      <c r="A2867" t="str">
        <v>Vestre Engvej 116, 1. tv, 5400 Bogense</v>
      </c>
      <c r="B2867">
        <v>287706</v>
      </c>
    </row>
    <row r="2868" spans="1:2" x14ac:dyDescent="0.25">
      <c r="A2868" t="str">
        <v>Vestre Engvej 116, 1. th, 5400 Bogense</v>
      </c>
      <c r="B2868">
        <v>287707</v>
      </c>
    </row>
    <row r="2869" spans="1:2" x14ac:dyDescent="0.25">
      <c r="A2869" t="str">
        <v>Vestre Engvej 117, st. tv, 5400 Bogense</v>
      </c>
      <c r="B2869">
        <v>287708</v>
      </c>
    </row>
    <row r="2870" spans="1:2" x14ac:dyDescent="0.25">
      <c r="A2870" t="str">
        <v>Vestre Engvej 117, st. th, 5400 Bogense</v>
      </c>
      <c r="B2870">
        <v>287709</v>
      </c>
    </row>
    <row r="2871" spans="1:2" x14ac:dyDescent="0.25">
      <c r="A2871" t="str">
        <v>Vestre Engvej 117, 1. tv, 5400 Bogense</v>
      </c>
      <c r="B2871">
        <v>287710</v>
      </c>
    </row>
    <row r="2872" spans="1:2" x14ac:dyDescent="0.25">
      <c r="A2872" t="str">
        <v>Vestre Engvej 117, 1. th, 5400 Bogense</v>
      </c>
      <c r="B2872">
        <v>287711</v>
      </c>
    </row>
    <row r="2873" spans="1:2" x14ac:dyDescent="0.25">
      <c r="A2873" t="str">
        <v>Vestre Engvej 118, st. tv, 5400 Bogense</v>
      </c>
      <c r="B2873">
        <v>288055</v>
      </c>
    </row>
    <row r="2874" spans="1:2" x14ac:dyDescent="0.25">
      <c r="A2874" t="str">
        <v>Vestre Engvej 118, 1. tv, 5400 Bogense</v>
      </c>
      <c r="B2874">
        <v>288056</v>
      </c>
    </row>
    <row r="2875" spans="1:2" x14ac:dyDescent="0.25">
      <c r="A2875" t="str">
        <v>Vestre Engvej 116, 5400 Bogense</v>
      </c>
      <c r="B2875">
        <v>10055582</v>
      </c>
    </row>
    <row r="2876" spans="1:2" x14ac:dyDescent="0.25">
      <c r="A2876" t="str">
        <v>Vestre Engvej 110, st. tv, 5400 Bogense</v>
      </c>
      <c r="B2876">
        <v>288057</v>
      </c>
    </row>
    <row r="2877" spans="1:2" x14ac:dyDescent="0.25">
      <c r="A2877" t="str">
        <v>Vestre Engvej 112, 1. tv, 5400 Bogense</v>
      </c>
      <c r="B2877">
        <v>288058</v>
      </c>
    </row>
    <row r="2878" spans="1:2" x14ac:dyDescent="0.25">
      <c r="A2878" t="str">
        <v>Vestre Engvej 112, 1. th, 5400 Bogense</v>
      </c>
      <c r="B2878">
        <v>288059</v>
      </c>
    </row>
    <row r="2879" spans="1:2" x14ac:dyDescent="0.25">
      <c r="A2879" t="str">
        <v>Vestre Engvej 113, st. tv, 5400 Bogense</v>
      </c>
      <c r="B2879">
        <v>288060</v>
      </c>
    </row>
    <row r="2880" spans="1:2" x14ac:dyDescent="0.25">
      <c r="A2880" t="str">
        <v>Vestre Engvej 113, st. th, 5400 Bogense</v>
      </c>
      <c r="B2880">
        <v>288061</v>
      </c>
    </row>
    <row r="2881" spans="1:2" x14ac:dyDescent="0.25">
      <c r="A2881" t="str">
        <v>Vestre Engvej 113, 1. tv, 5400 Bogense</v>
      </c>
      <c r="B2881">
        <v>288062</v>
      </c>
    </row>
    <row r="2882" spans="1:2" x14ac:dyDescent="0.25">
      <c r="A2882" t="str">
        <v>Vestre Engvej 113, 1. th, 5400 Bogense</v>
      </c>
      <c r="B2882">
        <v>288063</v>
      </c>
    </row>
    <row r="2883" spans="1:2" x14ac:dyDescent="0.25">
      <c r="A2883" t="str">
        <v>Vestre Engvej 110, st. th, 5400 Bogense</v>
      </c>
      <c r="B2883">
        <v>288064</v>
      </c>
    </row>
    <row r="2884" spans="1:2" x14ac:dyDescent="0.25">
      <c r="A2884" t="str">
        <v>Vestre Engvej 110, 1. tv, 5400 Bogense</v>
      </c>
      <c r="B2884">
        <v>288065</v>
      </c>
    </row>
    <row r="2885" spans="1:2" x14ac:dyDescent="0.25">
      <c r="A2885" t="str">
        <v>Vestre Engvej 110, 1. th, 5400 Bogense</v>
      </c>
      <c r="B2885">
        <v>288066</v>
      </c>
    </row>
    <row r="2886" spans="1:2" x14ac:dyDescent="0.25">
      <c r="A2886" t="str">
        <v>Vestre Engvej 111, st. tv, 5400 Bogense</v>
      </c>
      <c r="B2886">
        <v>288067</v>
      </c>
    </row>
    <row r="2887" spans="1:2" x14ac:dyDescent="0.25">
      <c r="A2887" t="str">
        <v>Vestre Engvej 111, 1. tv, 5400 Bogense</v>
      </c>
      <c r="B2887">
        <v>288068</v>
      </c>
    </row>
    <row r="2888" spans="1:2" x14ac:dyDescent="0.25">
      <c r="A2888" t="str">
        <v>Vestre Engvej 111, 1. th, 5400 Bogense</v>
      </c>
      <c r="B2888">
        <v>288069</v>
      </c>
    </row>
    <row r="2889" spans="1:2" x14ac:dyDescent="0.25">
      <c r="A2889" t="str">
        <v>Vestre Engvej 112, st. tv, 5400 Bogense</v>
      </c>
      <c r="B2889">
        <v>288070</v>
      </c>
    </row>
    <row r="2890" spans="1:2" x14ac:dyDescent="0.25">
      <c r="A2890" t="str">
        <v>Vestre Engvej 112, st. th, 5400 Bogense</v>
      </c>
      <c r="B2890">
        <v>288071</v>
      </c>
    </row>
    <row r="2891" spans="1:2" x14ac:dyDescent="0.25">
      <c r="A2891" t="str">
        <v>Vestre Engvej 110, 5400 Bogense</v>
      </c>
      <c r="B2891">
        <v>10055583</v>
      </c>
    </row>
    <row r="2892" spans="1:2" x14ac:dyDescent="0.25">
      <c r="A2892" t="str">
        <v>Vestre Engvej 114, st. tv, 5400 Bogense</v>
      </c>
      <c r="B2892">
        <v>288072</v>
      </c>
    </row>
    <row r="2893" spans="1:2" x14ac:dyDescent="0.25">
      <c r="A2893" t="str">
        <v>Vestre Engvej 114, 1. tv, 5400 Bogense</v>
      </c>
      <c r="B2893">
        <v>288073</v>
      </c>
    </row>
    <row r="2894" spans="1:2" x14ac:dyDescent="0.25">
      <c r="A2894" t="str">
        <v>Vestre Engvej 114, 1. th, 5400 Bogense</v>
      </c>
      <c r="B2894">
        <v>288074</v>
      </c>
    </row>
    <row r="2895" spans="1:2" x14ac:dyDescent="0.25">
      <c r="A2895" t="str">
        <v>Vestre Engvej 115, st. tv, 5400 Bogense</v>
      </c>
      <c r="B2895">
        <v>288075</v>
      </c>
    </row>
    <row r="2896" spans="1:2" x14ac:dyDescent="0.25">
      <c r="A2896" t="str">
        <v>Vestre Engvej 115, st. th, 5400 Bogense</v>
      </c>
      <c r="B2896">
        <v>288076</v>
      </c>
    </row>
    <row r="2897" spans="1:2" x14ac:dyDescent="0.25">
      <c r="A2897" t="str">
        <v>Vestre Engvej 115, 1. tv, 5400 Bogense</v>
      </c>
      <c r="B2897">
        <v>288077</v>
      </c>
    </row>
    <row r="2898" spans="1:2" x14ac:dyDescent="0.25">
      <c r="A2898" t="str">
        <v>Vestre Engvej 115, 1. th, 5400 Bogense</v>
      </c>
      <c r="B2898">
        <v>288078</v>
      </c>
    </row>
    <row r="2899" spans="1:2" x14ac:dyDescent="0.25">
      <c r="A2899" t="str">
        <v>Vestre Engvej 114, 5400 Bogense</v>
      </c>
      <c r="B2899">
        <v>10055584</v>
      </c>
    </row>
    <row r="2900" spans="1:2" x14ac:dyDescent="0.25">
      <c r="A2900" t="str">
        <v>Vestre Engvej 106, st. tv, 5400 Bogense</v>
      </c>
      <c r="B2900">
        <v>288079</v>
      </c>
    </row>
    <row r="2901" spans="1:2" x14ac:dyDescent="0.25">
      <c r="A2901" t="str">
        <v>Vestre Engvej 106, 1. tv, 5400 Bogense</v>
      </c>
      <c r="B2901">
        <v>288080</v>
      </c>
    </row>
    <row r="2902" spans="1:2" x14ac:dyDescent="0.25">
      <c r="A2902" t="str">
        <v>Vestre Engvej 106, 1. th, 5400 Bogense</v>
      </c>
      <c r="B2902">
        <v>288081</v>
      </c>
    </row>
    <row r="2903" spans="1:2" x14ac:dyDescent="0.25">
      <c r="A2903" t="str">
        <v>Vestre Engvej 107, st. tv, 5400 Bogense</v>
      </c>
      <c r="B2903">
        <v>288082</v>
      </c>
    </row>
    <row r="2904" spans="1:2" x14ac:dyDescent="0.25">
      <c r="A2904" t="str">
        <v>Vestre Engvej 107, st. th, 5400 Bogense</v>
      </c>
      <c r="B2904">
        <v>288083</v>
      </c>
    </row>
    <row r="2905" spans="1:2" x14ac:dyDescent="0.25">
      <c r="A2905" t="str">
        <v>Vestre Engvej 107, 1. tv, 5400 Bogense</v>
      </c>
      <c r="B2905">
        <v>288084</v>
      </c>
    </row>
    <row r="2906" spans="1:2" x14ac:dyDescent="0.25">
      <c r="A2906" t="str">
        <v>Vestre Engvej 107, 1. th, 5400 Bogense</v>
      </c>
      <c r="B2906">
        <v>288085</v>
      </c>
    </row>
    <row r="2907" spans="1:2" x14ac:dyDescent="0.25">
      <c r="A2907" t="str">
        <v>Vestre Engvej 106, 5400 Bogense</v>
      </c>
      <c r="B2907">
        <v>10055585</v>
      </c>
    </row>
    <row r="2908" spans="1:2" x14ac:dyDescent="0.25">
      <c r="A2908" t="str">
        <v>Vestre Engvej 108, st. th, 5400 Bogense</v>
      </c>
      <c r="B2908">
        <v>288086</v>
      </c>
    </row>
    <row r="2909" spans="1:2" x14ac:dyDescent="0.25">
      <c r="A2909" t="str">
        <v>Vestre Engvej 108, 1. tv, 5400 Bogense</v>
      </c>
      <c r="B2909">
        <v>288087</v>
      </c>
    </row>
    <row r="2910" spans="1:2" x14ac:dyDescent="0.25">
      <c r="A2910" t="str">
        <v>Vestre Engvej 108, 1. th, 5400 Bogense</v>
      </c>
      <c r="B2910">
        <v>288088</v>
      </c>
    </row>
    <row r="2911" spans="1:2" x14ac:dyDescent="0.25">
      <c r="A2911" t="str">
        <v>Vestre Engvej 109, st. tv, 5400 Bogense</v>
      </c>
      <c r="B2911">
        <v>288089</v>
      </c>
    </row>
    <row r="2912" spans="1:2" x14ac:dyDescent="0.25">
      <c r="A2912" t="str">
        <v>Vestre Engvej 109, st. th, 5400 Bogense</v>
      </c>
      <c r="B2912">
        <v>288090</v>
      </c>
    </row>
    <row r="2913" spans="1:2" x14ac:dyDescent="0.25">
      <c r="A2913" t="str">
        <v>Vestre Engvej 109, 1. tv, 5400 Bogense</v>
      </c>
      <c r="B2913">
        <v>288091</v>
      </c>
    </row>
    <row r="2914" spans="1:2" x14ac:dyDescent="0.25">
      <c r="A2914" t="str">
        <v>Vestre Engvej 109, 1. th, 5400 Bogense</v>
      </c>
      <c r="B2914">
        <v>288092</v>
      </c>
    </row>
    <row r="2915" spans="1:2" x14ac:dyDescent="0.25">
      <c r="A2915" t="str">
        <v>Vestre Engvej 108, 5400 Bogense</v>
      </c>
      <c r="B2915">
        <v>10055586</v>
      </c>
    </row>
    <row r="2916" spans="1:2" x14ac:dyDescent="0.25">
      <c r="A2916" t="str">
        <v>Vestre Engvej 104, st. tv, 5400 Bogense</v>
      </c>
      <c r="B2916">
        <v>288093</v>
      </c>
    </row>
    <row r="2917" spans="1:2" x14ac:dyDescent="0.25">
      <c r="A2917" t="str">
        <v>Vestre Engvej 104, st. th, 5400 Bogense</v>
      </c>
      <c r="B2917">
        <v>288094</v>
      </c>
    </row>
    <row r="2918" spans="1:2" x14ac:dyDescent="0.25">
      <c r="A2918" t="str">
        <v>Vestre Engvej 104, 1. tv, 5400 Bogense</v>
      </c>
      <c r="B2918">
        <v>288095</v>
      </c>
    </row>
    <row r="2919" spans="1:2" x14ac:dyDescent="0.25">
      <c r="A2919" t="str">
        <v>Vestre Engvej 104, 1. th, 5400 Bogense</v>
      </c>
      <c r="B2919">
        <v>288096</v>
      </c>
    </row>
    <row r="2920" spans="1:2" x14ac:dyDescent="0.25">
      <c r="A2920" t="str">
        <v>Vestre Engvej 105, st. tv, 5400 Bogense</v>
      </c>
      <c r="B2920">
        <v>288097</v>
      </c>
    </row>
    <row r="2921" spans="1:2" x14ac:dyDescent="0.25">
      <c r="A2921" t="str">
        <v>Vestre Engvej 105, 1. tv, 5400 Bogense</v>
      </c>
      <c r="B2921">
        <v>288098</v>
      </c>
    </row>
    <row r="2922" spans="1:2" x14ac:dyDescent="0.25">
      <c r="A2922" t="str">
        <v>Vestre Engvej 105, 1. th, 5400 Bogense</v>
      </c>
      <c r="B2922">
        <v>288099</v>
      </c>
    </row>
    <row r="2923" spans="1:2" x14ac:dyDescent="0.25">
      <c r="A2923" t="str">
        <v>Vestre Engvej 104, 5400 Bogense</v>
      </c>
      <c r="B2923">
        <v>10055587</v>
      </c>
    </row>
    <row r="2924" spans="1:2" x14ac:dyDescent="0.25">
      <c r="A2924" t="str">
        <v>Vestre Engvej 101, st. tv, 5400 Bogense</v>
      </c>
      <c r="B2924">
        <v>288100</v>
      </c>
    </row>
    <row r="2925" spans="1:2" x14ac:dyDescent="0.25">
      <c r="A2925" t="str">
        <v>Vestre Engvej 103, st. th, 5400 Bogense</v>
      </c>
      <c r="B2925">
        <v>288101</v>
      </c>
    </row>
    <row r="2926" spans="1:2" x14ac:dyDescent="0.25">
      <c r="A2926" t="str">
        <v>Vestre Engvej 103, 1. tv, 5400 Bogense</v>
      </c>
      <c r="B2926">
        <v>288102</v>
      </c>
    </row>
    <row r="2927" spans="1:2" x14ac:dyDescent="0.25">
      <c r="A2927" t="str">
        <v>Vestre Engvej 103, 1. th, 5400 Bogense</v>
      </c>
      <c r="B2927">
        <v>288103</v>
      </c>
    </row>
    <row r="2928" spans="1:2" x14ac:dyDescent="0.25">
      <c r="A2928" t="str">
        <v>Vestre Engvej 101, st. th, 5400 Bogense</v>
      </c>
      <c r="B2928">
        <v>288104</v>
      </c>
    </row>
    <row r="2929" spans="1:2" x14ac:dyDescent="0.25">
      <c r="A2929" t="str">
        <v>Vestre Engvej 101, 1. tv, 5400 Bogense</v>
      </c>
      <c r="B2929">
        <v>288105</v>
      </c>
    </row>
    <row r="2930" spans="1:2" x14ac:dyDescent="0.25">
      <c r="A2930" t="str">
        <v>Vestre Engvej 101, 1. th, 5400 Bogense</v>
      </c>
      <c r="B2930">
        <v>288106</v>
      </c>
    </row>
    <row r="2931" spans="1:2" x14ac:dyDescent="0.25">
      <c r="A2931" t="str">
        <v>Vestre Engvej 102, st. tv, 5400 Bogense</v>
      </c>
      <c r="B2931">
        <v>288107</v>
      </c>
    </row>
    <row r="2932" spans="1:2" x14ac:dyDescent="0.25">
      <c r="A2932" t="str">
        <v>Vestre Engvej 102, st. th, 5400 Bogense</v>
      </c>
      <c r="B2932">
        <v>288108</v>
      </c>
    </row>
    <row r="2933" spans="1:2" x14ac:dyDescent="0.25">
      <c r="A2933" t="str">
        <v>Vestre Engvej 102, 1. tv, 5400 Bogense</v>
      </c>
      <c r="B2933">
        <v>288109</v>
      </c>
    </row>
    <row r="2934" spans="1:2" x14ac:dyDescent="0.25">
      <c r="A2934" t="str">
        <v>Vestre Engvej 102, 1. th, 5400 Bogense</v>
      </c>
      <c r="B2934">
        <v>288110</v>
      </c>
    </row>
    <row r="2935" spans="1:2" x14ac:dyDescent="0.25">
      <c r="A2935" t="str">
        <v>Vestre Engvej 103, st. tv, 5400 Bogense</v>
      </c>
      <c r="B2935">
        <v>288111</v>
      </c>
    </row>
    <row r="2936" spans="1:2" x14ac:dyDescent="0.25">
      <c r="A2936" t="str">
        <v>Vestre Engvej 101, 5400 Bogense</v>
      </c>
      <c r="B2936">
        <v>10055588</v>
      </c>
    </row>
    <row r="2937" spans="1:2" x14ac:dyDescent="0.25">
      <c r="A2937" t="str">
        <v>Vestre Engvej 133, st. tv, 5400 Bogense</v>
      </c>
      <c r="B2937">
        <v>288112</v>
      </c>
    </row>
    <row r="2938" spans="1:2" x14ac:dyDescent="0.25">
      <c r="A2938" t="str">
        <v>Vestre Engvej 133, st. th, 5400 Bogense</v>
      </c>
      <c r="B2938">
        <v>288113</v>
      </c>
    </row>
    <row r="2939" spans="1:2" x14ac:dyDescent="0.25">
      <c r="A2939" t="str">
        <v>Vestre Engvej 133, 1. tv, 5400 Bogense</v>
      </c>
      <c r="B2939">
        <v>288114</v>
      </c>
    </row>
    <row r="2940" spans="1:2" x14ac:dyDescent="0.25">
      <c r="A2940" t="str">
        <v>Vestre Engvej 133, 1. th, 5400 Bogense</v>
      </c>
      <c r="B2940">
        <v>288115</v>
      </c>
    </row>
    <row r="2941" spans="1:2" x14ac:dyDescent="0.25">
      <c r="A2941" t="str">
        <v>Vestre Engvej 134, st. tv, 5400 Bogense</v>
      </c>
      <c r="B2941">
        <v>288116</v>
      </c>
    </row>
    <row r="2942" spans="1:2" x14ac:dyDescent="0.25">
      <c r="A2942" t="str">
        <v>Vestre Engvej 134, st. th, 5400 Bogense</v>
      </c>
      <c r="B2942">
        <v>288117</v>
      </c>
    </row>
    <row r="2943" spans="1:2" x14ac:dyDescent="0.25">
      <c r="A2943" t="str">
        <v>Vestre Engvej 134, 1. tv, 5400 Bogense</v>
      </c>
      <c r="B2943">
        <v>288118</v>
      </c>
    </row>
    <row r="2944" spans="1:2" x14ac:dyDescent="0.25">
      <c r="A2944" t="str">
        <v>Vestre Engvej 134, 1. th, 5400 Bogense</v>
      </c>
      <c r="B2944">
        <v>288119</v>
      </c>
    </row>
    <row r="2945" spans="1:2" x14ac:dyDescent="0.25">
      <c r="A2945" t="str">
        <v>Vestre Engvej 133, 5400 Bogense</v>
      </c>
      <c r="B2945">
        <v>10055589</v>
      </c>
    </row>
    <row r="2946" spans="1:2" x14ac:dyDescent="0.25">
      <c r="A2946" t="str">
        <v>Vestre Engvej 131, st. tv, 5400 Bogense</v>
      </c>
      <c r="B2946">
        <v>288120</v>
      </c>
    </row>
    <row r="2947" spans="1:2" x14ac:dyDescent="0.25">
      <c r="A2947" t="str">
        <v>Vestre Engvej 131, 1. tv, 5400 Bogense</v>
      </c>
      <c r="B2947">
        <v>288121</v>
      </c>
    </row>
    <row r="2948" spans="1:2" x14ac:dyDescent="0.25">
      <c r="A2948" t="str">
        <v>Vestre Engvej 131, 1. th, 5400 Bogense</v>
      </c>
      <c r="B2948">
        <v>288122</v>
      </c>
    </row>
    <row r="2949" spans="1:2" x14ac:dyDescent="0.25">
      <c r="A2949" t="str">
        <v>Vestre Engvej 132, st. tv, 5400 Bogense</v>
      </c>
      <c r="B2949">
        <v>288123</v>
      </c>
    </row>
    <row r="2950" spans="1:2" x14ac:dyDescent="0.25">
      <c r="A2950" t="str">
        <v>Vestre Engvej 132, st. th, 5400 Bogense</v>
      </c>
      <c r="B2950">
        <v>288124</v>
      </c>
    </row>
    <row r="2951" spans="1:2" x14ac:dyDescent="0.25">
      <c r="A2951" t="str">
        <v>Vestre Engvej 132, 1. tv, 5400 Bogense</v>
      </c>
      <c r="B2951">
        <v>288125</v>
      </c>
    </row>
    <row r="2952" spans="1:2" x14ac:dyDescent="0.25">
      <c r="A2952" t="str">
        <v>Vestre Engvej 132, 1. th, 5400 Bogense</v>
      </c>
      <c r="B2952">
        <v>288126</v>
      </c>
    </row>
    <row r="2953" spans="1:2" x14ac:dyDescent="0.25">
      <c r="A2953" t="str">
        <v>Vestre Engvej 131, 5400 Bogense</v>
      </c>
      <c r="B2953">
        <v>10055590</v>
      </c>
    </row>
    <row r="2954" spans="1:2" x14ac:dyDescent="0.25">
      <c r="A2954" t="str">
        <v>Vestre Engvej 135, st. tv, 5400 Bogense</v>
      </c>
      <c r="B2954">
        <v>288127</v>
      </c>
    </row>
    <row r="2955" spans="1:2" x14ac:dyDescent="0.25">
      <c r="A2955" t="str">
        <v>Vestre Engvej 137, 1. tv, 5400 Bogense</v>
      </c>
      <c r="B2955">
        <v>288128</v>
      </c>
    </row>
    <row r="2956" spans="1:2" x14ac:dyDescent="0.25">
      <c r="A2956" t="str">
        <v>Vestre Engvej 137, 1. th, 5400 Bogense</v>
      </c>
      <c r="B2956">
        <v>288129</v>
      </c>
    </row>
    <row r="2957" spans="1:2" x14ac:dyDescent="0.25">
      <c r="A2957" t="str">
        <v>Vestre Engvej 138, st. tv, 5400 Bogense</v>
      </c>
      <c r="B2957">
        <v>288130</v>
      </c>
    </row>
    <row r="2958" spans="1:2" x14ac:dyDescent="0.25">
      <c r="A2958" t="str">
        <v>Vestre Engvej 138, st. th, 5400 Bogense</v>
      </c>
      <c r="B2958">
        <v>288131</v>
      </c>
    </row>
    <row r="2959" spans="1:2" x14ac:dyDescent="0.25">
      <c r="A2959" t="str">
        <v>Vestre Engvej 138, 1. tv, 5400 Bogense</v>
      </c>
      <c r="B2959">
        <v>288132</v>
      </c>
    </row>
    <row r="2960" spans="1:2" x14ac:dyDescent="0.25">
      <c r="A2960" t="str">
        <v>Vestre Engvej 138, 1. th, 5400 Bogense</v>
      </c>
      <c r="B2960">
        <v>288133</v>
      </c>
    </row>
    <row r="2961" spans="1:2" x14ac:dyDescent="0.25">
      <c r="A2961" t="str">
        <v>Vestre Engvej 139, st. tv, 5400 Bogense</v>
      </c>
      <c r="B2961">
        <v>288134</v>
      </c>
    </row>
    <row r="2962" spans="1:2" x14ac:dyDescent="0.25">
      <c r="A2962" t="str">
        <v>Vestre Engvej 139, 1. tv, 5400 Bogense</v>
      </c>
      <c r="B2962">
        <v>288135</v>
      </c>
    </row>
    <row r="2963" spans="1:2" x14ac:dyDescent="0.25">
      <c r="A2963" t="str">
        <v>Vestre Engvej 139, 1. th, 5400 Bogense</v>
      </c>
      <c r="B2963">
        <v>288136</v>
      </c>
    </row>
    <row r="2964" spans="1:2" x14ac:dyDescent="0.25">
      <c r="A2964" t="str">
        <v>Vestre Engvej 135, 1. tv, 5400 Bogense</v>
      </c>
      <c r="B2964">
        <v>288137</v>
      </c>
    </row>
    <row r="2965" spans="1:2" x14ac:dyDescent="0.25">
      <c r="A2965" t="str">
        <v>Vestre Engvej 135, 1. th, 5400 Bogense</v>
      </c>
      <c r="B2965">
        <v>288138</v>
      </c>
    </row>
    <row r="2966" spans="1:2" x14ac:dyDescent="0.25">
      <c r="A2966" t="str">
        <v>Vestre Engvej 136, st. tv, 5400 Bogense</v>
      </c>
      <c r="B2966">
        <v>288139</v>
      </c>
    </row>
    <row r="2967" spans="1:2" x14ac:dyDescent="0.25">
      <c r="A2967" t="str">
        <v>Vestre Engvej 136, st. th, 5400 Bogense</v>
      </c>
      <c r="B2967">
        <v>288140</v>
      </c>
    </row>
    <row r="2968" spans="1:2" x14ac:dyDescent="0.25">
      <c r="A2968" t="str">
        <v>Vestre Engvej 136, 1. tv, 5400 Bogense</v>
      </c>
      <c r="B2968">
        <v>288141</v>
      </c>
    </row>
    <row r="2969" spans="1:2" x14ac:dyDescent="0.25">
      <c r="A2969" t="str">
        <v>Vestre Engvej 136, 1. th, 5400 Bogense</v>
      </c>
      <c r="B2969">
        <v>288142</v>
      </c>
    </row>
    <row r="2970" spans="1:2" x14ac:dyDescent="0.25">
      <c r="A2970" t="str">
        <v>Vestre Engvej 137, st. tv, 5400 Bogense</v>
      </c>
      <c r="B2970">
        <v>288143</v>
      </c>
    </row>
    <row r="2971" spans="1:2" x14ac:dyDescent="0.25">
      <c r="A2971" t="str">
        <v>Vestre Engvej 137, st. th, 5400 Bogense</v>
      </c>
      <c r="B2971">
        <v>288144</v>
      </c>
    </row>
    <row r="2972" spans="1:2" x14ac:dyDescent="0.25">
      <c r="A2972" t="str">
        <v>Vestre Engvej 135, 5400 Bogense</v>
      </c>
      <c r="B2972">
        <v>10055591</v>
      </c>
    </row>
    <row r="2973" spans="1:2" x14ac:dyDescent="0.25">
      <c r="A2973" t="str">
        <v>Bogmose 15, Eskilstrup, 5400 Bogense</v>
      </c>
      <c r="B2973">
        <v>10062329</v>
      </c>
    </row>
    <row r="2974" spans="1:2" x14ac:dyDescent="0.25">
      <c r="A2974" t="str">
        <v>Skåstrupvej 32, Skåstrup, 5400 Bogense</v>
      </c>
      <c r="B2974">
        <v>10062981</v>
      </c>
    </row>
    <row r="2975" spans="1:2" x14ac:dyDescent="0.25">
      <c r="A2975">
        <v>0</v>
      </c>
      <c r="B2975">
        <v>10066782</v>
      </c>
    </row>
    <row r="2976" spans="1:2" x14ac:dyDescent="0.25">
      <c r="A2976" t="str">
        <v>Tromsøparken 4, Bogense, 5400 Bogense</v>
      </c>
      <c r="B2976">
        <v>10066783</v>
      </c>
    </row>
    <row r="2977" spans="1:2" x14ac:dyDescent="0.25">
      <c r="A2977" t="str">
        <v>Tromsøparken 6, Bogense, 5400 Bogense</v>
      </c>
      <c r="B2977">
        <v>10066784</v>
      </c>
    </row>
    <row r="2978" spans="1:2" x14ac:dyDescent="0.25">
      <c r="A2978" t="str">
        <v>Tromsøparken 8, Bogense, 5400 Bogense</v>
      </c>
      <c r="B2978">
        <v>10066785</v>
      </c>
    </row>
    <row r="2979" spans="1:2" x14ac:dyDescent="0.25">
      <c r="A2979" t="str">
        <v>Tromsøparken 10, Bogense, 5400 Bogense</v>
      </c>
      <c r="B2979">
        <v>10066786</v>
      </c>
    </row>
    <row r="2980" spans="1:2" x14ac:dyDescent="0.25">
      <c r="A2980" t="str">
        <v>Tromsøparken 12, Bogense, 5400 Bogense</v>
      </c>
      <c r="B2980">
        <v>10066787</v>
      </c>
    </row>
    <row r="2981" spans="1:2" x14ac:dyDescent="0.25">
      <c r="A2981" t="str">
        <v>Tromsøparken 14, Bogense, 5400 Bogense</v>
      </c>
      <c r="B2981">
        <v>10066788</v>
      </c>
    </row>
    <row r="2982" spans="1:2" x14ac:dyDescent="0.25">
      <c r="A2982" t="str">
        <v>Tromsøparken 16, Bogense, 5400 Bogense</v>
      </c>
      <c r="B2982">
        <v>10066789</v>
      </c>
    </row>
    <row r="2983" spans="1:2" x14ac:dyDescent="0.25">
      <c r="A2983" t="str">
        <v>Tromsøparken 18, Bogense, 5400 Bogense</v>
      </c>
      <c r="B2983">
        <v>10066790</v>
      </c>
    </row>
    <row r="2984" spans="1:2" x14ac:dyDescent="0.25">
      <c r="A2984" t="str">
        <v>Tromsøparken 20, Bogense, 5400 Bogense</v>
      </c>
      <c r="B2984">
        <v>10066791</v>
      </c>
    </row>
    <row r="2985" spans="1:2" x14ac:dyDescent="0.25">
      <c r="A2985" t="str">
        <v>Tromsøparken 22, Bogense, 5400 Bogense</v>
      </c>
      <c r="B2985">
        <v>10066792</v>
      </c>
    </row>
    <row r="2986" spans="1:2" x14ac:dyDescent="0.25">
      <c r="A2986" t="str">
        <v>Tromsøparken 24, Bogense, 5400 Bogense</v>
      </c>
      <c r="B2986">
        <v>10066793</v>
      </c>
    </row>
    <row r="2987" spans="1:2" x14ac:dyDescent="0.25">
      <c r="A2987" t="str">
        <v>Tromsøparken 7, Bogense, 5400 Bogense</v>
      </c>
      <c r="B2987">
        <v>10066794</v>
      </c>
    </row>
    <row r="2988" spans="1:2" x14ac:dyDescent="0.25">
      <c r="A2988" t="str">
        <v>Tromsøparken 9, Bogense, 5400 Bogense</v>
      </c>
      <c r="B2988">
        <v>10066795</v>
      </c>
    </row>
    <row r="2989" spans="1:2" x14ac:dyDescent="0.25">
      <c r="A2989" t="str">
        <v>Tromsøparken 5, Bogense, 5400 Bogense</v>
      </c>
      <c r="B2989">
        <v>10066796</v>
      </c>
    </row>
    <row r="2990" spans="1:2" x14ac:dyDescent="0.25">
      <c r="A2990" t="str">
        <v>Tromsøparken 3, Bogense, 5400 Bogense</v>
      </c>
      <c r="B2990">
        <v>10066797</v>
      </c>
    </row>
    <row r="2991" spans="1:2" x14ac:dyDescent="0.25">
      <c r="A2991" t="str">
        <v>Tromsøparken 1, Bogense, 5400 Bogense</v>
      </c>
      <c r="B2991">
        <v>10066798</v>
      </c>
    </row>
    <row r="2992" spans="1:2" x14ac:dyDescent="0.25">
      <c r="A2992" t="str">
        <v>Torvet 32A, 5400 Bogense</v>
      </c>
      <c r="B2992">
        <v>10079963</v>
      </c>
    </row>
    <row r="2993" spans="1:2" x14ac:dyDescent="0.25">
      <c r="A2993" t="str">
        <v>Harritslevvej 17, Grønløkke, 5400 Bogense</v>
      </c>
      <c r="B2993">
        <v>10097777</v>
      </c>
    </row>
    <row r="2994" spans="1:2" x14ac:dyDescent="0.25">
      <c r="A2994" t="str">
        <v>Odensevej 64, 5400 Bogense</v>
      </c>
      <c r="B2994">
        <v>10125240</v>
      </c>
    </row>
    <row r="2995" spans="1:2" x14ac:dyDescent="0.25">
      <c r="A2995" t="str">
        <v>Odensevej 64, 5400 Bogense</v>
      </c>
      <c r="B2995">
        <v>10125240</v>
      </c>
    </row>
    <row r="2996" spans="1:2" x14ac:dyDescent="0.25">
      <c r="A2996" t="str">
        <v>Odensevej 64, 5400 Bogense</v>
      </c>
      <c r="B2996">
        <v>10125240</v>
      </c>
    </row>
    <row r="2997" spans="1:2" x14ac:dyDescent="0.25">
      <c r="A2997" t="str">
        <v>Rosenhaven 64, Bogense, 5400 Bogense</v>
      </c>
      <c r="B2997">
        <v>10188714</v>
      </c>
    </row>
    <row r="2998" spans="1:2" x14ac:dyDescent="0.25">
      <c r="A2998" t="str">
        <v>Rosenhaven 1, Bogense, 5400 Bogense</v>
      </c>
      <c r="B2998">
        <v>10188714</v>
      </c>
    </row>
    <row r="2999" spans="1:2" x14ac:dyDescent="0.25">
      <c r="A2999" t="str">
        <v>Rosenhaven 10, Bogense, 5400 Bogense</v>
      </c>
      <c r="B2999">
        <v>10188714</v>
      </c>
    </row>
    <row r="3000" spans="1:2" x14ac:dyDescent="0.25">
      <c r="A3000" t="str">
        <v>Rosenhaven 11, Bogense, 5400 Bogense</v>
      </c>
      <c r="B3000">
        <v>10188714</v>
      </c>
    </row>
    <row r="3001" spans="1:2" x14ac:dyDescent="0.25">
      <c r="A3001" t="str">
        <v>Rosenhaven 12, Bogense, 5400 Bogense</v>
      </c>
      <c r="B3001">
        <v>10188714</v>
      </c>
    </row>
    <row r="3002" spans="1:2" x14ac:dyDescent="0.25">
      <c r="A3002" t="str">
        <v>Rosenhaven 13, Bogense, 5400 Bogense</v>
      </c>
      <c r="B3002">
        <v>10188714</v>
      </c>
    </row>
    <row r="3003" spans="1:2" x14ac:dyDescent="0.25">
      <c r="A3003" t="str">
        <v>Rosenhaven 14, Bogense, 5400 Bogense</v>
      </c>
      <c r="B3003">
        <v>10188714</v>
      </c>
    </row>
    <row r="3004" spans="1:2" x14ac:dyDescent="0.25">
      <c r="A3004" t="str">
        <v>Rosenhaven 15, Bogense, 5400 Bogense</v>
      </c>
      <c r="B3004">
        <v>10188714</v>
      </c>
    </row>
    <row r="3005" spans="1:2" x14ac:dyDescent="0.25">
      <c r="A3005" t="str">
        <v>Rosenhaven 17, Bogense, 5400 Bogense</v>
      </c>
      <c r="B3005">
        <v>10188714</v>
      </c>
    </row>
    <row r="3006" spans="1:2" x14ac:dyDescent="0.25">
      <c r="A3006" t="str">
        <v>Rosenhaven 19, Bogense, 5400 Bogense</v>
      </c>
      <c r="B3006">
        <v>10188714</v>
      </c>
    </row>
    <row r="3007" spans="1:2" x14ac:dyDescent="0.25">
      <c r="A3007" t="str">
        <v>Rosenhaven 2, Bogense, 5400 Bogense</v>
      </c>
      <c r="B3007">
        <v>10188714</v>
      </c>
    </row>
    <row r="3008" spans="1:2" x14ac:dyDescent="0.25">
      <c r="A3008" t="str">
        <v>Rosenhaven 21, Bogense, 5400 Bogense</v>
      </c>
      <c r="B3008">
        <v>10188714</v>
      </c>
    </row>
    <row r="3009" spans="1:2" x14ac:dyDescent="0.25">
      <c r="A3009" t="str">
        <v>Rosenhaven 25, Bogense, 5400 Bogense</v>
      </c>
      <c r="B3009">
        <v>10188714</v>
      </c>
    </row>
    <row r="3010" spans="1:2" x14ac:dyDescent="0.25">
      <c r="A3010" t="str">
        <v>Rosenhaven 29, Bogense, 5400 Bogense</v>
      </c>
      <c r="B3010">
        <v>10188714</v>
      </c>
    </row>
    <row r="3011" spans="1:2" x14ac:dyDescent="0.25">
      <c r="A3011" t="str">
        <v>Rosenhaven 3, Bogense, 5400 Bogense</v>
      </c>
      <c r="B3011">
        <v>10188714</v>
      </c>
    </row>
    <row r="3012" spans="1:2" x14ac:dyDescent="0.25">
      <c r="A3012" t="str">
        <v>Rosenhaven 30, Bogense, 5400 Bogense</v>
      </c>
      <c r="B3012">
        <v>10188714</v>
      </c>
    </row>
    <row r="3013" spans="1:2" x14ac:dyDescent="0.25">
      <c r="A3013" t="str">
        <v>Rosenhaven 31, Bogense, 5400 Bogense</v>
      </c>
      <c r="B3013">
        <v>10188714</v>
      </c>
    </row>
    <row r="3014" spans="1:2" x14ac:dyDescent="0.25">
      <c r="A3014" t="str">
        <v>Rosenhaven 32, Bogense, 5400 Bogense</v>
      </c>
      <c r="B3014">
        <v>10188714</v>
      </c>
    </row>
    <row r="3015" spans="1:2" x14ac:dyDescent="0.25">
      <c r="A3015" t="str">
        <v>Rosenhaven 33, Bogense, 5400 Bogense</v>
      </c>
      <c r="B3015">
        <v>10188714</v>
      </c>
    </row>
    <row r="3016" spans="1:2" x14ac:dyDescent="0.25">
      <c r="A3016" t="str">
        <v>Rosenhaven 34, Bogense, 5400 Bogense</v>
      </c>
      <c r="B3016">
        <v>10188714</v>
      </c>
    </row>
    <row r="3017" spans="1:2" x14ac:dyDescent="0.25">
      <c r="A3017" t="str">
        <v>Rosenhaven 35, Bogense, 5400 Bogense</v>
      </c>
      <c r="B3017">
        <v>10188714</v>
      </c>
    </row>
    <row r="3018" spans="1:2" x14ac:dyDescent="0.25">
      <c r="A3018" t="str">
        <v>Rosenhaven 36, Bogense, 5400 Bogense</v>
      </c>
      <c r="B3018">
        <v>10188714</v>
      </c>
    </row>
    <row r="3019" spans="1:2" x14ac:dyDescent="0.25">
      <c r="A3019" t="str">
        <v>Rosenhaven 37, Bogense, 5400 Bogense</v>
      </c>
      <c r="B3019">
        <v>10188714</v>
      </c>
    </row>
    <row r="3020" spans="1:2" x14ac:dyDescent="0.25">
      <c r="A3020" t="str">
        <v>Rosenhaven 38, Bogense, 5400 Bogense</v>
      </c>
      <c r="B3020">
        <v>10188714</v>
      </c>
    </row>
    <row r="3021" spans="1:2" x14ac:dyDescent="0.25">
      <c r="A3021" t="str">
        <v>Rosenhaven 4, Bogense, 5400 Bogense</v>
      </c>
      <c r="B3021">
        <v>10188714</v>
      </c>
    </row>
    <row r="3022" spans="1:2" x14ac:dyDescent="0.25">
      <c r="A3022" t="str">
        <v>Rosenhaven 40, Bogense, 5400 Bogense</v>
      </c>
      <c r="B3022">
        <v>10188714</v>
      </c>
    </row>
    <row r="3023" spans="1:2" x14ac:dyDescent="0.25">
      <c r="A3023" t="str">
        <v>Rosenhaven 42, Bogense, 5400 Bogense</v>
      </c>
      <c r="B3023">
        <v>10188714</v>
      </c>
    </row>
    <row r="3024" spans="1:2" x14ac:dyDescent="0.25">
      <c r="A3024" t="str">
        <v>Rosenhaven 43, Bogense, 5400 Bogense</v>
      </c>
      <c r="B3024">
        <v>10188714</v>
      </c>
    </row>
    <row r="3025" spans="1:2" x14ac:dyDescent="0.25">
      <c r="A3025" t="str">
        <v>Rosenhaven 44, Bogense, 5400 Bogense</v>
      </c>
      <c r="B3025">
        <v>10188714</v>
      </c>
    </row>
    <row r="3026" spans="1:2" x14ac:dyDescent="0.25">
      <c r="A3026" t="str">
        <v>Rosenhaven 45, Bogense, 5400 Bogense</v>
      </c>
      <c r="B3026">
        <v>10188714</v>
      </c>
    </row>
    <row r="3027" spans="1:2" x14ac:dyDescent="0.25">
      <c r="A3027" t="str">
        <v>Rosenhaven 46, Bogense, 5400 Bogense</v>
      </c>
      <c r="B3027">
        <v>10188714</v>
      </c>
    </row>
    <row r="3028" spans="1:2" x14ac:dyDescent="0.25">
      <c r="A3028" t="str">
        <v>Rosenhaven 48, Bogense, 5400 Bogense</v>
      </c>
      <c r="B3028">
        <v>10188714</v>
      </c>
    </row>
    <row r="3029" spans="1:2" x14ac:dyDescent="0.25">
      <c r="A3029" t="str">
        <v>Rosenhaven 5, Bogense, 5400 Bogense</v>
      </c>
      <c r="B3029">
        <v>10188714</v>
      </c>
    </row>
    <row r="3030" spans="1:2" x14ac:dyDescent="0.25">
      <c r="A3030" t="str">
        <v>Rosenhaven 50, Bogense, 5400 Bogense</v>
      </c>
      <c r="B3030">
        <v>10188714</v>
      </c>
    </row>
    <row r="3031" spans="1:2" x14ac:dyDescent="0.25">
      <c r="A3031" t="str">
        <v>Rosenhaven 52, Bogense, 5400 Bogense</v>
      </c>
      <c r="B3031">
        <v>10188714</v>
      </c>
    </row>
    <row r="3032" spans="1:2" x14ac:dyDescent="0.25">
      <c r="A3032" t="str">
        <v>Rosenhaven 54, Bogense, 5400 Bogense</v>
      </c>
      <c r="B3032">
        <v>10188714</v>
      </c>
    </row>
    <row r="3033" spans="1:2" x14ac:dyDescent="0.25">
      <c r="A3033" t="str">
        <v>Rosenhaven 56, Bogense, 5400 Bogense</v>
      </c>
      <c r="B3033">
        <v>10188714</v>
      </c>
    </row>
    <row r="3034" spans="1:2" x14ac:dyDescent="0.25">
      <c r="A3034" t="str">
        <v>Rosenhaven 58, Bogense, 5400 Bogense</v>
      </c>
      <c r="B3034">
        <v>10188714</v>
      </c>
    </row>
    <row r="3035" spans="1:2" x14ac:dyDescent="0.25">
      <c r="A3035" t="str">
        <v>Rosenhaven 6, Bogense, 5400 Bogense</v>
      </c>
      <c r="B3035">
        <v>10188714</v>
      </c>
    </row>
    <row r="3036" spans="1:2" x14ac:dyDescent="0.25">
      <c r="A3036" t="str">
        <v>Rosenhaven 60, Bogense, 5400 Bogense</v>
      </c>
      <c r="B3036">
        <v>10188714</v>
      </c>
    </row>
    <row r="3037" spans="1:2" x14ac:dyDescent="0.25">
      <c r="A3037" t="str">
        <v>Rosenhaven 62, Bogense, 5400 Bogense</v>
      </c>
      <c r="B3037">
        <v>10188714</v>
      </c>
    </row>
    <row r="3038" spans="1:2" x14ac:dyDescent="0.25">
      <c r="A3038" t="str">
        <v>Rosenhaven 64, Bogense, 5400 Bogense</v>
      </c>
      <c r="B3038">
        <v>10188714</v>
      </c>
    </row>
    <row r="3039" spans="1:2" x14ac:dyDescent="0.25">
      <c r="A3039" t="str">
        <v>Rosenhaven 66, Bogense, 5400 Bogense</v>
      </c>
      <c r="B3039">
        <v>10188714</v>
      </c>
    </row>
    <row r="3040" spans="1:2" x14ac:dyDescent="0.25">
      <c r="A3040" t="str">
        <v>Rosenhaven 68, Bogense, 5400 Bogense</v>
      </c>
      <c r="B3040">
        <v>10188714</v>
      </c>
    </row>
    <row r="3041" spans="1:2" x14ac:dyDescent="0.25">
      <c r="A3041" t="str">
        <v>Rosenhaven 7, Bogense, 5400 Bogense</v>
      </c>
      <c r="B3041">
        <v>10188714</v>
      </c>
    </row>
    <row r="3042" spans="1:2" x14ac:dyDescent="0.25">
      <c r="A3042" t="str">
        <v>Rosenhaven 70, Bogense, 5400 Bogense</v>
      </c>
      <c r="B3042">
        <v>10188714</v>
      </c>
    </row>
    <row r="3043" spans="1:2" x14ac:dyDescent="0.25">
      <c r="A3043" t="str">
        <v>Rosenhaven 72, Bogense, 5400 Bogense</v>
      </c>
      <c r="B3043">
        <v>10188714</v>
      </c>
    </row>
    <row r="3044" spans="1:2" x14ac:dyDescent="0.25">
      <c r="A3044" t="str">
        <v>Rosenhaven 74, Bogense, 5400 Bogense</v>
      </c>
      <c r="B3044">
        <v>10188714</v>
      </c>
    </row>
    <row r="3045" spans="1:2" x14ac:dyDescent="0.25">
      <c r="A3045" t="str">
        <v>Rosenhaven 76, Bogense, 5400 Bogense</v>
      </c>
      <c r="B3045">
        <v>10188714</v>
      </c>
    </row>
    <row r="3046" spans="1:2" x14ac:dyDescent="0.25">
      <c r="A3046" t="str">
        <v>Rosenhaven 78, Bogense, 5400 Bogense</v>
      </c>
      <c r="B3046">
        <v>10188714</v>
      </c>
    </row>
    <row r="3047" spans="1:2" x14ac:dyDescent="0.25">
      <c r="A3047" t="str">
        <v>Rosenhaven 8, Bogense, 5400 Bogense</v>
      </c>
      <c r="B3047">
        <v>10188714</v>
      </c>
    </row>
    <row r="3048" spans="1:2" x14ac:dyDescent="0.25">
      <c r="A3048" t="str">
        <v>Rosenhaven 80, Bogense, 5400 Bogense</v>
      </c>
      <c r="B3048">
        <v>10188714</v>
      </c>
    </row>
    <row r="3049" spans="1:2" x14ac:dyDescent="0.25">
      <c r="A3049" t="str">
        <v>Rosenhaven 82, Bogense, 5400 Bogense</v>
      </c>
      <c r="B3049">
        <v>10188714</v>
      </c>
    </row>
    <row r="3050" spans="1:2" x14ac:dyDescent="0.25">
      <c r="A3050" t="str">
        <v>Rosenhaven 84, Bogense, 5400 Bogense</v>
      </c>
      <c r="B3050">
        <v>10188714</v>
      </c>
    </row>
    <row r="3051" spans="1:2" x14ac:dyDescent="0.25">
      <c r="A3051" t="str">
        <v>Rosenhaven 86, Bogense, 5400 Bogense</v>
      </c>
      <c r="B3051">
        <v>10188714</v>
      </c>
    </row>
    <row r="3052" spans="1:2" x14ac:dyDescent="0.25">
      <c r="A3052" t="str">
        <v>Rosenhaven 88, Bogense, 5400 Bogense</v>
      </c>
      <c r="B3052">
        <v>10188714</v>
      </c>
    </row>
    <row r="3053" spans="1:2" x14ac:dyDescent="0.25">
      <c r="A3053" t="str">
        <v>Rosenhaven 9, Bogense, 5400 Bogense</v>
      </c>
      <c r="B3053">
        <v>10188714</v>
      </c>
    </row>
    <row r="3054" spans="1:2" x14ac:dyDescent="0.25">
      <c r="A3054" t="str">
        <v>Rosenhaven 90, Bogense, 5400 Bogense</v>
      </c>
      <c r="B3054">
        <v>10188714</v>
      </c>
    </row>
    <row r="3055" spans="1:2" x14ac:dyDescent="0.25">
      <c r="A3055" t="str">
        <v>Rosenhaven 92, Bogense, 5400 Bogense</v>
      </c>
      <c r="B3055">
        <v>10188714</v>
      </c>
    </row>
    <row r="3056" spans="1:2" x14ac:dyDescent="0.25">
      <c r="A3056" t="str">
        <v>Rosenhaven 94, Bogense, 5400 Bogense</v>
      </c>
      <c r="B3056">
        <v>10188714</v>
      </c>
    </row>
    <row r="3057" spans="1:2" x14ac:dyDescent="0.25">
      <c r="A3057" t="str">
        <v>Rosenhaven 96, Bogense, 5400 Bogense</v>
      </c>
      <c r="B3057">
        <v>10188714</v>
      </c>
    </row>
    <row r="3058" spans="1:2" x14ac:dyDescent="0.25">
      <c r="A3058" t="str">
        <v>Rosenhaven 98, Bogense, 5400 Bogense</v>
      </c>
      <c r="B3058">
        <v>10188714</v>
      </c>
    </row>
    <row r="3059" spans="1:2" x14ac:dyDescent="0.25">
      <c r="A3059" t="str">
        <v>Huggetvej 23, 5400 Bogense</v>
      </c>
      <c r="B3059">
        <v>10188715</v>
      </c>
    </row>
    <row r="3060" spans="1:2" x14ac:dyDescent="0.25">
      <c r="A3060" t="str">
        <v>Huggetvej 23A, 5400 Bogense</v>
      </c>
      <c r="B3060">
        <v>10188715</v>
      </c>
    </row>
    <row r="3061" spans="1:2" x14ac:dyDescent="0.25">
      <c r="A3061" t="str">
        <v>Huggetvej 23B, 5400 Bogense</v>
      </c>
      <c r="B3061">
        <v>10188715</v>
      </c>
    </row>
    <row r="3062" spans="1:2" x14ac:dyDescent="0.25">
      <c r="A3062" t="str">
        <v>Huggetvej 23C, 5400 Bogense</v>
      </c>
      <c r="B3062">
        <v>10188715</v>
      </c>
    </row>
    <row r="3063" spans="1:2" x14ac:dyDescent="0.25">
      <c r="A3063" t="str">
        <v>Norgesvej 5, Bogense, 5400 Bogense</v>
      </c>
      <c r="B3063">
        <v>100005929</v>
      </c>
    </row>
    <row r="3064" spans="1:2" x14ac:dyDescent="0.25">
      <c r="A3064" t="str">
        <v>Søndermarksvej 10, 5400 Bogense</v>
      </c>
      <c r="B3064">
        <v>100005969</v>
      </c>
    </row>
    <row r="3065" spans="1:2" x14ac:dyDescent="0.25">
      <c r="A3065" t="str">
        <v>Vestre Engvej 24A, st., 5400 Bogense</v>
      </c>
      <c r="B3065">
        <v>288145</v>
      </c>
    </row>
    <row r="3066" spans="1:2" x14ac:dyDescent="0.25">
      <c r="A3066" t="str">
        <v>Vestre Engvej 26D, st., 5400 Bogense</v>
      </c>
      <c r="B3066">
        <v>288146</v>
      </c>
    </row>
    <row r="3067" spans="1:2" x14ac:dyDescent="0.25">
      <c r="A3067" t="str">
        <v>Vestre Engvej 26H, 1., 5400 Bogense</v>
      </c>
      <c r="B3067">
        <v>288147</v>
      </c>
    </row>
    <row r="3068" spans="1:2" x14ac:dyDescent="0.25">
      <c r="A3068" t="str">
        <v>Vestre Engvej 26G, 1., 5400 Bogense</v>
      </c>
      <c r="B3068">
        <v>288148</v>
      </c>
    </row>
    <row r="3069" spans="1:2" x14ac:dyDescent="0.25">
      <c r="A3069" t="str">
        <v>Vestre Engvej 26F, 1., 5400 Bogense</v>
      </c>
      <c r="B3069">
        <v>288149</v>
      </c>
    </row>
    <row r="3070" spans="1:2" x14ac:dyDescent="0.25">
      <c r="A3070" t="str">
        <v>Vestre Engvej 26E, 1., 5400 Bogense</v>
      </c>
      <c r="B3070">
        <v>288150</v>
      </c>
    </row>
    <row r="3071" spans="1:2" x14ac:dyDescent="0.25">
      <c r="A3071" t="str">
        <v>Vestre Engvej 28A, st., 5400 Bogense</v>
      </c>
      <c r="B3071">
        <v>288151</v>
      </c>
    </row>
    <row r="3072" spans="1:2" x14ac:dyDescent="0.25">
      <c r="A3072" t="str">
        <v>Vestre Engvej 28B, st., 5400 Bogense</v>
      </c>
      <c r="B3072">
        <v>288152</v>
      </c>
    </row>
    <row r="3073" spans="1:2" x14ac:dyDescent="0.25">
      <c r="A3073" t="str">
        <v>Vestre Engvej 28C, st., 5400 Bogense</v>
      </c>
      <c r="B3073">
        <v>288153</v>
      </c>
    </row>
    <row r="3074" spans="1:2" x14ac:dyDescent="0.25">
      <c r="A3074" t="str">
        <v>Vestre Engvej 28D, st., 5400 Bogense</v>
      </c>
      <c r="B3074">
        <v>288154</v>
      </c>
    </row>
    <row r="3075" spans="1:2" x14ac:dyDescent="0.25">
      <c r="A3075" t="str">
        <v>Vestre Engvej 28H, 1., 5400 Bogense</v>
      </c>
      <c r="B3075">
        <v>288155</v>
      </c>
    </row>
    <row r="3076" spans="1:2" x14ac:dyDescent="0.25">
      <c r="A3076" t="str">
        <v>Vestre Engvej 24B, st., 5400 Bogense</v>
      </c>
      <c r="B3076">
        <v>288156</v>
      </c>
    </row>
    <row r="3077" spans="1:2" x14ac:dyDescent="0.25">
      <c r="A3077" t="str">
        <v>Vestre Engvej 28G, 1., 5400 Bogense</v>
      </c>
      <c r="B3077">
        <v>288157</v>
      </c>
    </row>
    <row r="3078" spans="1:2" x14ac:dyDescent="0.25">
      <c r="A3078" t="str">
        <v>Vestre Engvej 28F, 1., 5400 Bogense</v>
      </c>
      <c r="B3078">
        <v>288158</v>
      </c>
    </row>
    <row r="3079" spans="1:2" x14ac:dyDescent="0.25">
      <c r="A3079" t="str">
        <v>Vestre Engvej 28E, 1., 5400 Bogense</v>
      </c>
      <c r="B3079">
        <v>288159</v>
      </c>
    </row>
    <row r="3080" spans="1:2" x14ac:dyDescent="0.25">
      <c r="A3080" t="str">
        <v>Vestre Engvej 22F, 5400 Bogense</v>
      </c>
      <c r="B3080">
        <v>288160</v>
      </c>
    </row>
    <row r="3081" spans="1:2" x14ac:dyDescent="0.25">
      <c r="A3081" t="str">
        <v>Vestre Engvej 22E, 5400 Bogense</v>
      </c>
      <c r="B3081">
        <v>288161</v>
      </c>
    </row>
    <row r="3082" spans="1:2" x14ac:dyDescent="0.25">
      <c r="A3082" t="str">
        <v>Vestre Engvej 22D, 5400 Bogense</v>
      </c>
      <c r="B3082">
        <v>288162</v>
      </c>
    </row>
    <row r="3083" spans="1:2" x14ac:dyDescent="0.25">
      <c r="A3083" t="str">
        <v>Vestre Engvej 22C, 5400 Bogense</v>
      </c>
      <c r="B3083">
        <v>288163</v>
      </c>
    </row>
    <row r="3084" spans="1:2" x14ac:dyDescent="0.25">
      <c r="A3084" t="str">
        <v>Vestre Engvej 22B, 5400 Bogense</v>
      </c>
      <c r="B3084">
        <v>288164</v>
      </c>
    </row>
    <row r="3085" spans="1:2" x14ac:dyDescent="0.25">
      <c r="A3085" t="str">
        <v>Vestre Engvej 22A, 5400 Bogense</v>
      </c>
      <c r="B3085">
        <v>288165</v>
      </c>
    </row>
    <row r="3086" spans="1:2" x14ac:dyDescent="0.25">
      <c r="A3086" t="str">
        <v>Vestre Engvej 20F, 5400 Bogense</v>
      </c>
      <c r="B3086">
        <v>288166</v>
      </c>
    </row>
    <row r="3087" spans="1:2" x14ac:dyDescent="0.25">
      <c r="A3087" t="str">
        <v>Vestre Engvej 24C, st., 5400 Bogense</v>
      </c>
      <c r="B3087">
        <v>288167</v>
      </c>
    </row>
    <row r="3088" spans="1:2" x14ac:dyDescent="0.25">
      <c r="A3088" t="str">
        <v>Vestre Engvej 20E, 5400 Bogense</v>
      </c>
      <c r="B3088">
        <v>288168</v>
      </c>
    </row>
    <row r="3089" spans="1:2" x14ac:dyDescent="0.25">
      <c r="A3089" t="str">
        <v>Vestre Engvej 20D, 5400 Bogense</v>
      </c>
      <c r="B3089">
        <v>288513</v>
      </c>
    </row>
    <row r="3090" spans="1:2" x14ac:dyDescent="0.25">
      <c r="A3090" t="str">
        <v>Vestre Engvej 20C, 5400 Bogense</v>
      </c>
      <c r="B3090">
        <v>288514</v>
      </c>
    </row>
    <row r="3091" spans="1:2" x14ac:dyDescent="0.25">
      <c r="A3091" t="str">
        <v>Vestre Engvej 20B, 5400 Bogense</v>
      </c>
      <c r="B3091">
        <v>288515</v>
      </c>
    </row>
    <row r="3092" spans="1:2" x14ac:dyDescent="0.25">
      <c r="A3092" t="str">
        <v>Vestre Engvej 20A, 5400 Bogense</v>
      </c>
      <c r="B3092">
        <v>288516</v>
      </c>
    </row>
    <row r="3093" spans="1:2" x14ac:dyDescent="0.25">
      <c r="A3093" t="str">
        <v>Vestre Engvej 24F, 1., 5400 Bogense</v>
      </c>
      <c r="B3093">
        <v>288517</v>
      </c>
    </row>
    <row r="3094" spans="1:2" x14ac:dyDescent="0.25">
      <c r="A3094" t="str">
        <v>Vestre Engvej 24E, 1., 5400 Bogense</v>
      </c>
      <c r="B3094">
        <v>288518</v>
      </c>
    </row>
    <row r="3095" spans="1:2" x14ac:dyDescent="0.25">
      <c r="A3095" t="str">
        <v>Vestre Engvej 24D, 1., 5400 Bogense</v>
      </c>
      <c r="B3095">
        <v>288519</v>
      </c>
    </row>
    <row r="3096" spans="1:2" x14ac:dyDescent="0.25">
      <c r="A3096" t="str">
        <v>Vestre Engvej 26A, st., 5400 Bogense</v>
      </c>
      <c r="B3096">
        <v>288520</v>
      </c>
    </row>
    <row r="3097" spans="1:2" x14ac:dyDescent="0.25">
      <c r="A3097" t="str">
        <v>Vestre Engvej 26B, st., 5400 Bogense</v>
      </c>
      <c r="B3097">
        <v>288521</v>
      </c>
    </row>
    <row r="3098" spans="1:2" x14ac:dyDescent="0.25">
      <c r="A3098" t="str">
        <v>Vestre Engvej 26C, st., 5400 Bogense</v>
      </c>
      <c r="B3098">
        <v>288522</v>
      </c>
    </row>
    <row r="3099" spans="1:2" x14ac:dyDescent="0.25">
      <c r="A3099" t="str">
        <v>Vestre Engvej 20A, 5400 Bogense</v>
      </c>
      <c r="B3099">
        <v>100011112</v>
      </c>
    </row>
    <row r="3100" spans="1:2" x14ac:dyDescent="0.25">
      <c r="A3100">
        <v>0</v>
      </c>
      <c r="B3100">
        <v>100013235</v>
      </c>
    </row>
    <row r="3101" spans="1:2" x14ac:dyDescent="0.25">
      <c r="A3101" t="str">
        <v>Ålesundparken 3, Bogense, 5400 Bogense</v>
      </c>
      <c r="B3101">
        <v>100013236</v>
      </c>
    </row>
    <row r="3102" spans="1:2" x14ac:dyDescent="0.25">
      <c r="A3102" t="str">
        <v>Ålesundparken 5, Bogense, 5400 Bogense</v>
      </c>
      <c r="B3102">
        <v>100013237</v>
      </c>
    </row>
    <row r="3103" spans="1:2" x14ac:dyDescent="0.25">
      <c r="A3103" t="str">
        <v>Ålesundparken 7, Bogense, 5400 Bogense</v>
      </c>
      <c r="B3103">
        <v>100013238</v>
      </c>
    </row>
    <row r="3104" spans="1:2" x14ac:dyDescent="0.25">
      <c r="A3104" t="str">
        <v>Ålesundparken 9, Bogense, 5400 Bogense</v>
      </c>
      <c r="B3104">
        <v>100013239</v>
      </c>
    </row>
    <row r="3105" spans="1:2" x14ac:dyDescent="0.25">
      <c r="A3105" t="str">
        <v>Ålesundparken 11, Bogense, 5400 Bogense</v>
      </c>
      <c r="B3105">
        <v>100013240</v>
      </c>
    </row>
    <row r="3106" spans="1:2" x14ac:dyDescent="0.25">
      <c r="A3106" t="str">
        <v>Ålesundparken 13, Bogense, 5400 Bogense</v>
      </c>
      <c r="B3106">
        <v>100013241</v>
      </c>
    </row>
    <row r="3107" spans="1:2" x14ac:dyDescent="0.25">
      <c r="A3107" t="str">
        <v>Ålesundparken 15, Bogense, 5400 Bogense</v>
      </c>
      <c r="B3107">
        <v>100013242</v>
      </c>
    </row>
    <row r="3108" spans="1:2" x14ac:dyDescent="0.25">
      <c r="A3108" t="str">
        <v>Ålesundparken 17, Bogense, 5400 Bogense</v>
      </c>
      <c r="B3108">
        <v>100013243</v>
      </c>
    </row>
    <row r="3109" spans="1:2" x14ac:dyDescent="0.25">
      <c r="A3109" t="str">
        <v>Ålesundparken 19, Bogense, 5400 Bogense</v>
      </c>
      <c r="B3109">
        <v>100013244</v>
      </c>
    </row>
    <row r="3110" spans="1:2" x14ac:dyDescent="0.25">
      <c r="A3110" t="str">
        <v>Ålesundparken 21, Bogense, 5400 Bogense</v>
      </c>
      <c r="B3110">
        <v>100013245</v>
      </c>
    </row>
    <row r="3111" spans="1:2" x14ac:dyDescent="0.25">
      <c r="A3111" t="str">
        <v>Ålesundparken 23, Bogense, 5400 Bogense</v>
      </c>
      <c r="B3111">
        <v>100013246</v>
      </c>
    </row>
    <row r="3112" spans="1:2" x14ac:dyDescent="0.25">
      <c r="A3112" t="str">
        <v>Ålesundparken 25, Bogense, 5400 Bogense</v>
      </c>
      <c r="B3112">
        <v>100013247</v>
      </c>
    </row>
    <row r="3113" spans="1:2" x14ac:dyDescent="0.25">
      <c r="A3113" t="str">
        <v>Ålesundparken 27, Bogense, 5400 Bogense</v>
      </c>
      <c r="B3113">
        <v>100013248</v>
      </c>
    </row>
    <row r="3114" spans="1:2" x14ac:dyDescent="0.25">
      <c r="A3114" t="str">
        <v>Ålesundparken 29, Bogense, 5400 Bogense</v>
      </c>
      <c r="B3114">
        <v>100013249</v>
      </c>
    </row>
    <row r="3115" spans="1:2" x14ac:dyDescent="0.25">
      <c r="A3115" t="str">
        <v>Ålesundparken 31, Bogense, 5400 Bogense</v>
      </c>
      <c r="B3115">
        <v>100013250</v>
      </c>
    </row>
    <row r="3116" spans="1:2" x14ac:dyDescent="0.25">
      <c r="A3116" t="str">
        <v>Ålesundparken 33, Bogense, 5400 Bogense</v>
      </c>
      <c r="B3116">
        <v>100013251</v>
      </c>
    </row>
    <row r="3117" spans="1:2" x14ac:dyDescent="0.25">
      <c r="A3117" t="str">
        <v>Ålesundparken 35, Bogense, 5400 Bogense</v>
      </c>
      <c r="B3117">
        <v>100013252</v>
      </c>
    </row>
    <row r="3118" spans="1:2" x14ac:dyDescent="0.25">
      <c r="A3118" t="str">
        <v>Ålesundparken 37, Bogense, 5400 Bogense</v>
      </c>
      <c r="B3118">
        <v>100013253</v>
      </c>
    </row>
    <row r="3119" spans="1:2" x14ac:dyDescent="0.25">
      <c r="A3119" t="str">
        <v>Ålesundparken 39, Bogense, 5400 Bogense</v>
      </c>
      <c r="B3119">
        <v>100013254</v>
      </c>
    </row>
    <row r="3120" spans="1:2" x14ac:dyDescent="0.25">
      <c r="A3120" t="str">
        <v>Ålesundparken 34, Bogense, 5400 Bogense</v>
      </c>
      <c r="B3120">
        <v>100013255</v>
      </c>
    </row>
    <row r="3121" spans="1:2" x14ac:dyDescent="0.25">
      <c r="A3121" t="str">
        <v>Ålesundparken 32, Bogense, 5400 Bogense</v>
      </c>
      <c r="B3121">
        <v>100013256</v>
      </c>
    </row>
    <row r="3122" spans="1:2" x14ac:dyDescent="0.25">
      <c r="A3122" t="str">
        <v>Ålesundparken 30, Bogense, 5400 Bogense</v>
      </c>
      <c r="B3122">
        <v>100013257</v>
      </c>
    </row>
    <row r="3123" spans="1:2" x14ac:dyDescent="0.25">
      <c r="A3123" t="str">
        <v>Ålesundparken 28, Bogense, 5400 Bogense</v>
      </c>
      <c r="B3123">
        <v>100013258</v>
      </c>
    </row>
    <row r="3124" spans="1:2" x14ac:dyDescent="0.25">
      <c r="A3124" t="str">
        <v>Ålesundparken 26, Bogense, 5400 Bogense</v>
      </c>
      <c r="B3124">
        <v>100013259</v>
      </c>
    </row>
    <row r="3125" spans="1:2" x14ac:dyDescent="0.25">
      <c r="A3125" t="str">
        <v>Ålesundparken 24, Bogense, 5400 Bogense</v>
      </c>
      <c r="B3125">
        <v>100013260</v>
      </c>
    </row>
    <row r="3126" spans="1:2" x14ac:dyDescent="0.25">
      <c r="A3126" t="str">
        <v>Ålesundparken 22, Bogense, 5400 Bogense</v>
      </c>
      <c r="B3126">
        <v>100013261</v>
      </c>
    </row>
    <row r="3127" spans="1:2" x14ac:dyDescent="0.25">
      <c r="A3127" t="str">
        <v>Ålesundparken 20, Bogense, 5400 Bogense</v>
      </c>
      <c r="B3127">
        <v>100013262</v>
      </c>
    </row>
    <row r="3128" spans="1:2" x14ac:dyDescent="0.25">
      <c r="A3128" t="str">
        <v>Ålesundparken 18, Bogense, 5400 Bogense</v>
      </c>
      <c r="B3128">
        <v>100013263</v>
      </c>
    </row>
    <row r="3129" spans="1:2" x14ac:dyDescent="0.25">
      <c r="A3129" t="str">
        <v>Ålesundparken 16, Bogense, 5400 Bogense</v>
      </c>
      <c r="B3129">
        <v>100013264</v>
      </c>
    </row>
    <row r="3130" spans="1:2" x14ac:dyDescent="0.25">
      <c r="A3130" t="str">
        <v>Ålesundparken 14, Bogense, 5400 Bogense</v>
      </c>
      <c r="B3130">
        <v>100013265</v>
      </c>
    </row>
    <row r="3131" spans="1:2" x14ac:dyDescent="0.25">
      <c r="A3131" t="str">
        <v>Ålesundparken 12, Bogense, 5400 Bogense</v>
      </c>
      <c r="B3131">
        <v>100013266</v>
      </c>
    </row>
    <row r="3132" spans="1:2" x14ac:dyDescent="0.25">
      <c r="A3132" t="str">
        <v>Ålesundparken 10, Bogense, 5400 Bogense</v>
      </c>
      <c r="B3132">
        <v>100013267</v>
      </c>
    </row>
    <row r="3133" spans="1:2" x14ac:dyDescent="0.25">
      <c r="A3133" t="str">
        <v>Ålesundparken 8, Bogense, 5400 Bogense</v>
      </c>
      <c r="B3133">
        <v>100013268</v>
      </c>
    </row>
    <row r="3134" spans="1:2" x14ac:dyDescent="0.25">
      <c r="A3134" t="str">
        <v>Ålesundparken 6, Bogense, 5400 Bogense</v>
      </c>
      <c r="B3134">
        <v>100013269</v>
      </c>
    </row>
    <row r="3135" spans="1:2" x14ac:dyDescent="0.25">
      <c r="A3135" t="str">
        <v>Ålesundparken 4, Bogense, 5400 Bogense</v>
      </c>
      <c r="B3135">
        <v>100013270</v>
      </c>
    </row>
    <row r="3136" spans="1:2" x14ac:dyDescent="0.25">
      <c r="A3136" t="str">
        <v>Ålesundparken 2, Bogense, 5400 Bogense</v>
      </c>
      <c r="B3136">
        <v>100013271</v>
      </c>
    </row>
    <row r="3137" spans="1:2" x14ac:dyDescent="0.25">
      <c r="A3137">
        <v>0</v>
      </c>
      <c r="B3137">
        <v>100017434</v>
      </c>
    </row>
    <row r="3138" spans="1:2" x14ac:dyDescent="0.25">
      <c r="A3138" t="str">
        <v>Enggade 5A, 5400 Bogense</v>
      </c>
      <c r="B3138">
        <v>100033161</v>
      </c>
    </row>
    <row r="3139" spans="1:2" x14ac:dyDescent="0.25">
      <c r="A3139" t="str">
        <v>Enggade 11A, 5400 Bogense</v>
      </c>
      <c r="B3139">
        <v>100033161</v>
      </c>
    </row>
    <row r="3140" spans="1:2" x14ac:dyDescent="0.25">
      <c r="A3140" t="str">
        <v>Enggade 11B, 5400 Bogense</v>
      </c>
      <c r="B3140">
        <v>100033161</v>
      </c>
    </row>
    <row r="3141" spans="1:2" x14ac:dyDescent="0.25">
      <c r="A3141" t="str">
        <v>Enggade 11C, 5400 Bogense</v>
      </c>
      <c r="B3141">
        <v>100033161</v>
      </c>
    </row>
    <row r="3142" spans="1:2" x14ac:dyDescent="0.25">
      <c r="A3142" t="str">
        <v>Enggade 11D, 5400 Bogense</v>
      </c>
      <c r="B3142">
        <v>100033161</v>
      </c>
    </row>
    <row r="3143" spans="1:2" x14ac:dyDescent="0.25">
      <c r="A3143" t="str">
        <v>Enggade 13A, 5400 Bogense</v>
      </c>
      <c r="B3143">
        <v>100033161</v>
      </c>
    </row>
    <row r="3144" spans="1:2" x14ac:dyDescent="0.25">
      <c r="A3144" t="str">
        <v>Enggade 13B, 5400 Bogense</v>
      </c>
      <c r="B3144">
        <v>100033161</v>
      </c>
    </row>
    <row r="3145" spans="1:2" x14ac:dyDescent="0.25">
      <c r="A3145" t="str">
        <v>Enggade 13C, 5400 Bogense</v>
      </c>
      <c r="B3145">
        <v>100033161</v>
      </c>
    </row>
    <row r="3146" spans="1:2" x14ac:dyDescent="0.25">
      <c r="A3146" t="str">
        <v>Enggade 13D, 5400 Bogense</v>
      </c>
      <c r="B3146">
        <v>100033161</v>
      </c>
    </row>
    <row r="3147" spans="1:2" x14ac:dyDescent="0.25">
      <c r="A3147" t="str">
        <v>Enggade 13E, 5400 Bogense</v>
      </c>
      <c r="B3147">
        <v>100033161</v>
      </c>
    </row>
    <row r="3148" spans="1:2" x14ac:dyDescent="0.25">
      <c r="A3148" t="str">
        <v>Enggade 5A, 5400 Bogense</v>
      </c>
      <c r="B3148">
        <v>100033161</v>
      </c>
    </row>
    <row r="3149" spans="1:2" x14ac:dyDescent="0.25">
      <c r="A3149" t="str">
        <v>Enggade 5B, 5400 Bogense</v>
      </c>
      <c r="B3149">
        <v>100033161</v>
      </c>
    </row>
    <row r="3150" spans="1:2" x14ac:dyDescent="0.25">
      <c r="A3150" t="str">
        <v>Enggade 5C, 5400 Bogense</v>
      </c>
      <c r="B3150">
        <v>100033161</v>
      </c>
    </row>
    <row r="3151" spans="1:2" x14ac:dyDescent="0.25">
      <c r="A3151" t="str">
        <v>Enggade 5D, 5400 Bogense</v>
      </c>
      <c r="B3151">
        <v>100033161</v>
      </c>
    </row>
    <row r="3152" spans="1:2" x14ac:dyDescent="0.25">
      <c r="A3152" t="str">
        <v>Enggade 5E, 5400 Bogense</v>
      </c>
      <c r="B3152">
        <v>100033161</v>
      </c>
    </row>
    <row r="3153" spans="1:2" x14ac:dyDescent="0.25">
      <c r="A3153" t="str">
        <v>Enggade 5F, 5400 Bogense</v>
      </c>
      <c r="B3153">
        <v>100033161</v>
      </c>
    </row>
    <row r="3154" spans="1:2" x14ac:dyDescent="0.25">
      <c r="A3154" t="str">
        <v>Enggade 5G, 5400 Bogense</v>
      </c>
      <c r="B3154">
        <v>100033161</v>
      </c>
    </row>
    <row r="3155" spans="1:2" x14ac:dyDescent="0.25">
      <c r="A3155" t="str">
        <v>Enggade 5H, 5400 Bogense</v>
      </c>
      <c r="B3155">
        <v>100033161</v>
      </c>
    </row>
    <row r="3156" spans="1:2" x14ac:dyDescent="0.25">
      <c r="A3156" t="str">
        <v>Enggade 5K, 5400 Bogense</v>
      </c>
      <c r="B3156">
        <v>100033161</v>
      </c>
    </row>
    <row r="3157" spans="1:2" x14ac:dyDescent="0.25">
      <c r="A3157" t="str">
        <v>Enggade 7A, 5400 Bogense</v>
      </c>
      <c r="B3157">
        <v>100033161</v>
      </c>
    </row>
    <row r="3158" spans="1:2" x14ac:dyDescent="0.25">
      <c r="A3158" t="str">
        <v>Enggade 7B, 5400 Bogense</v>
      </c>
      <c r="B3158">
        <v>100033161</v>
      </c>
    </row>
    <row r="3159" spans="1:2" x14ac:dyDescent="0.25">
      <c r="A3159" t="str">
        <v>Enggade 7C, 5400 Bogense</v>
      </c>
      <c r="B3159">
        <v>100033161</v>
      </c>
    </row>
    <row r="3160" spans="1:2" x14ac:dyDescent="0.25">
      <c r="A3160" t="str">
        <v>Enggade 7D, 5400 Bogense</v>
      </c>
      <c r="B3160">
        <v>100033161</v>
      </c>
    </row>
    <row r="3161" spans="1:2" x14ac:dyDescent="0.25">
      <c r="A3161" t="str">
        <v>Enggade 7E, 5400 Bogense</v>
      </c>
      <c r="B3161">
        <v>100033161</v>
      </c>
    </row>
    <row r="3162" spans="1:2" x14ac:dyDescent="0.25">
      <c r="A3162" t="str">
        <v>Enggade 7F, 5400 Bogense</v>
      </c>
      <c r="B3162">
        <v>100033161</v>
      </c>
    </row>
    <row r="3163" spans="1:2" x14ac:dyDescent="0.25">
      <c r="A3163" t="str">
        <v>Enggade 9, 5400 Bogense</v>
      </c>
      <c r="B3163">
        <v>100033161</v>
      </c>
    </row>
    <row r="3164" spans="1:2" x14ac:dyDescent="0.25">
      <c r="A3164">
        <v>0</v>
      </c>
      <c r="B3164">
        <v>100033162</v>
      </c>
    </row>
    <row r="3165" spans="1:2" x14ac:dyDescent="0.25">
      <c r="A3165" t="str">
        <v>Vestre Engvej 12A, 5400 Bogense</v>
      </c>
      <c r="B3165">
        <v>412161</v>
      </c>
    </row>
    <row r="3166" spans="1:2" x14ac:dyDescent="0.25">
      <c r="A3166" t="str">
        <v>Vestre Engvej 14B, 5400 Bogense</v>
      </c>
      <c r="B3166">
        <v>412162</v>
      </c>
    </row>
    <row r="3167" spans="1:2" x14ac:dyDescent="0.25">
      <c r="A3167" t="str">
        <v>Vestre Engvej 12D, 5400 Bogense</v>
      </c>
      <c r="B3167">
        <v>412163</v>
      </c>
    </row>
    <row r="3168" spans="1:2" x14ac:dyDescent="0.25">
      <c r="A3168" t="str">
        <v>Vestre Engvej 12B, 5400 Bogense</v>
      </c>
      <c r="B3168">
        <v>412164</v>
      </c>
    </row>
    <row r="3169" spans="1:2" x14ac:dyDescent="0.25">
      <c r="A3169" t="str">
        <v>Vestre Engvej 12C, 5400 Bogense</v>
      </c>
      <c r="B3169">
        <v>412165</v>
      </c>
    </row>
    <row r="3170" spans="1:2" x14ac:dyDescent="0.25">
      <c r="A3170" t="str">
        <v>Vestre Engvej 14A, 5400 Bogense</v>
      </c>
      <c r="B3170">
        <v>412166</v>
      </c>
    </row>
    <row r="3171" spans="1:2" x14ac:dyDescent="0.25">
      <c r="A3171" t="str">
        <v>Vestre Engvej 14C, 5400 Bogense</v>
      </c>
      <c r="B3171">
        <v>412167</v>
      </c>
    </row>
    <row r="3172" spans="1:2" x14ac:dyDescent="0.25">
      <c r="A3172" t="str">
        <v>Vestre Engvej 14E, 5400 Bogense</v>
      </c>
      <c r="B3172">
        <v>412168</v>
      </c>
    </row>
    <row r="3173" spans="1:2" x14ac:dyDescent="0.25">
      <c r="A3173" t="str">
        <v>Vestre Engvej 14G, 5400 Bogense</v>
      </c>
      <c r="B3173">
        <v>412169</v>
      </c>
    </row>
    <row r="3174" spans="1:2" x14ac:dyDescent="0.25">
      <c r="A3174" t="str">
        <v>Vestre Engvej 14H, 5400 Bogense</v>
      </c>
      <c r="B3174">
        <v>412170</v>
      </c>
    </row>
    <row r="3175" spans="1:2" x14ac:dyDescent="0.25">
      <c r="A3175" t="str">
        <v>Vestre Engvej 14F, 5400 Bogense</v>
      </c>
      <c r="B3175">
        <v>412171</v>
      </c>
    </row>
    <row r="3176" spans="1:2" x14ac:dyDescent="0.25">
      <c r="A3176" t="str">
        <v>Vestre Engvej 14D, 5400 Bogense</v>
      </c>
      <c r="B3176">
        <v>412172</v>
      </c>
    </row>
    <row r="3177" spans="1:2" x14ac:dyDescent="0.25">
      <c r="A3177" t="str">
        <v>Vestre Engvej 12A, 5400 Bogense</v>
      </c>
      <c r="B3177">
        <v>100041738</v>
      </c>
    </row>
    <row r="3178" spans="1:2" x14ac:dyDescent="0.25">
      <c r="A3178" t="str">
        <v>Vestre Engvej 16A, 5400 Bogense</v>
      </c>
      <c r="B3178">
        <v>100041739</v>
      </c>
    </row>
    <row r="3179" spans="1:2" x14ac:dyDescent="0.25">
      <c r="A3179" t="str">
        <v>Vestre Engvej 16D, 5400 Bogense</v>
      </c>
      <c r="B3179">
        <v>100554784</v>
      </c>
    </row>
    <row r="3180" spans="1:2" x14ac:dyDescent="0.25">
      <c r="A3180" t="str">
        <v>Vestre Engvej 16E, 5400 Bogense</v>
      </c>
      <c r="B3180">
        <v>100554785</v>
      </c>
    </row>
    <row r="3181" spans="1:2" x14ac:dyDescent="0.25">
      <c r="A3181" t="str">
        <v>Vestre Engvej 16A, 5400 Bogense</v>
      </c>
      <c r="B3181">
        <v>100554829</v>
      </c>
    </row>
    <row r="3182" spans="1:2" x14ac:dyDescent="0.25">
      <c r="A3182" t="str">
        <v>Vestre Engvej 16B, 5400 Bogense</v>
      </c>
      <c r="B3182">
        <v>100554830</v>
      </c>
    </row>
    <row r="3183" spans="1:2" x14ac:dyDescent="0.25">
      <c r="A3183" t="str">
        <v>Vestre Engvej 16C, 5400 Bogense</v>
      </c>
      <c r="B3183">
        <v>100554832</v>
      </c>
    </row>
    <row r="3184" spans="1:2" x14ac:dyDescent="0.25">
      <c r="A3184" t="str">
        <v>Vestre Engvej 18A, 5400 Bogense</v>
      </c>
      <c r="B3184">
        <v>100554834</v>
      </c>
    </row>
    <row r="3185" spans="1:2" x14ac:dyDescent="0.25">
      <c r="A3185" t="str">
        <v>Vestre Engvej 18B, 5400 Bogense</v>
      </c>
      <c r="B3185">
        <v>100554835</v>
      </c>
    </row>
    <row r="3186" spans="1:2" x14ac:dyDescent="0.25">
      <c r="A3186" t="str">
        <v>Vestre Engvej 18C, 5400 Bogense</v>
      </c>
      <c r="B3186">
        <v>100554836</v>
      </c>
    </row>
    <row r="3187" spans="1:2" x14ac:dyDescent="0.25">
      <c r="A3187" t="str">
        <v>Vestre Engvej 18D, 5400 Bogense</v>
      </c>
      <c r="B3187">
        <v>100554837</v>
      </c>
    </row>
    <row r="3188" spans="1:2" x14ac:dyDescent="0.25">
      <c r="A3188" t="str">
        <v>Vestre Engvej 12A, 5400 Bogense</v>
      </c>
      <c r="B3188">
        <v>100041740</v>
      </c>
    </row>
    <row r="3189" spans="1:2" x14ac:dyDescent="0.25">
      <c r="A3189" t="str">
        <v>Vestre Engvej 10A, 5400 Bogense</v>
      </c>
      <c r="B3189">
        <v>100041740</v>
      </c>
    </row>
    <row r="3190" spans="1:2" x14ac:dyDescent="0.25">
      <c r="A3190" t="str">
        <v>Vestre Engvej 10B, 5400 Bogense</v>
      </c>
      <c r="B3190">
        <v>100041740</v>
      </c>
    </row>
    <row r="3191" spans="1:2" x14ac:dyDescent="0.25">
      <c r="A3191" t="str">
        <v>Vestre Engvej 10C, 5400 Bogense</v>
      </c>
      <c r="B3191">
        <v>100041740</v>
      </c>
    </row>
    <row r="3192" spans="1:2" x14ac:dyDescent="0.25">
      <c r="A3192" t="str">
        <v>Vestre Engvej 10D, 5400 Bogense</v>
      </c>
      <c r="B3192">
        <v>100041740</v>
      </c>
    </row>
    <row r="3193" spans="1:2" x14ac:dyDescent="0.25">
      <c r="A3193" t="str">
        <v>Vestre Engvej 10E, 5400 Bogense</v>
      </c>
      <c r="B3193">
        <v>100041740</v>
      </c>
    </row>
    <row r="3194" spans="1:2" x14ac:dyDescent="0.25">
      <c r="A3194" t="str">
        <v>Vestre Engvej 10F, 5400 Bogense</v>
      </c>
      <c r="B3194">
        <v>100041740</v>
      </c>
    </row>
    <row r="3195" spans="1:2" x14ac:dyDescent="0.25">
      <c r="A3195" t="str">
        <v>Vestre Engvej 10G, 5400 Bogense</v>
      </c>
      <c r="B3195">
        <v>100041740</v>
      </c>
    </row>
    <row r="3196" spans="1:2" x14ac:dyDescent="0.25">
      <c r="A3196" t="str">
        <v>Vestre Engvej 10H, 5400 Bogense</v>
      </c>
      <c r="B3196">
        <v>100041740</v>
      </c>
    </row>
    <row r="3197" spans="1:2" x14ac:dyDescent="0.25">
      <c r="A3197" t="str">
        <v>Vestre Engvej 30A, 5400 Bogense</v>
      </c>
      <c r="B3197">
        <v>100041741</v>
      </c>
    </row>
    <row r="3198" spans="1:2" x14ac:dyDescent="0.25">
      <c r="A3198" t="str">
        <v>Langø 3, Langø, 5400 Bogense</v>
      </c>
      <c r="B3198">
        <v>100042561</v>
      </c>
    </row>
    <row r="3199" spans="1:2" x14ac:dyDescent="0.25">
      <c r="A3199" t="str">
        <v>Skåstrupvej 10A, Hugget, 5400 Bogense</v>
      </c>
      <c r="B3199">
        <v>100070502</v>
      </c>
    </row>
    <row r="3200" spans="1:2" x14ac:dyDescent="0.25">
      <c r="A3200" t="str">
        <v>Trondheimparken 8, 5400 Bogense</v>
      </c>
      <c r="B3200">
        <v>100073538</v>
      </c>
    </row>
    <row r="3201" spans="1:2" x14ac:dyDescent="0.25">
      <c r="A3201" t="str">
        <v>Sct. Anna Park 1, 5400 Bogense</v>
      </c>
      <c r="B3201">
        <v>100080177</v>
      </c>
    </row>
    <row r="3202" spans="1:2" x14ac:dyDescent="0.25">
      <c r="A3202" t="str">
        <v>Adelgade 110, 5400 Bogense</v>
      </c>
      <c r="B3202">
        <v>100081498</v>
      </c>
    </row>
    <row r="3203" spans="1:2" x14ac:dyDescent="0.25">
      <c r="A3203">
        <v>0</v>
      </c>
      <c r="B3203">
        <v>100081951</v>
      </c>
    </row>
    <row r="3204" spans="1:2" x14ac:dyDescent="0.25">
      <c r="A3204">
        <v>0</v>
      </c>
      <c r="B3204">
        <v>100088053</v>
      </c>
    </row>
    <row r="3205" spans="1:2" x14ac:dyDescent="0.25">
      <c r="A3205">
        <v>0</v>
      </c>
      <c r="B3205">
        <v>100093726</v>
      </c>
    </row>
    <row r="3206" spans="1:2" x14ac:dyDescent="0.25">
      <c r="A3206">
        <v>0</v>
      </c>
      <c r="B3206">
        <v>100093727</v>
      </c>
    </row>
    <row r="3207" spans="1:2" x14ac:dyDescent="0.25">
      <c r="A3207" t="str">
        <v>Fionaparken 20, 5400 Bogense</v>
      </c>
      <c r="B3207">
        <v>100093728</v>
      </c>
    </row>
    <row r="3208" spans="1:2" x14ac:dyDescent="0.25">
      <c r="A3208" t="str">
        <v>Fionaparken 18, 5400 Bogense</v>
      </c>
      <c r="B3208">
        <v>100093729</v>
      </c>
    </row>
    <row r="3209" spans="1:2" x14ac:dyDescent="0.25">
      <c r="A3209" t="str">
        <v>Fionaparken 16, 5400 Bogense</v>
      </c>
      <c r="B3209">
        <v>100093730</v>
      </c>
    </row>
    <row r="3210" spans="1:2" x14ac:dyDescent="0.25">
      <c r="A3210" t="str">
        <v>Fionaparken 14, 5400 Bogense</v>
      </c>
      <c r="B3210">
        <v>100093731</v>
      </c>
    </row>
    <row r="3211" spans="1:2" x14ac:dyDescent="0.25">
      <c r="A3211" t="str">
        <v>Fionaparken 12, 5400 Bogense</v>
      </c>
      <c r="B3211">
        <v>100093732</v>
      </c>
    </row>
    <row r="3212" spans="1:2" x14ac:dyDescent="0.25">
      <c r="A3212" t="str">
        <v>Fionaparken 10, 5400 Bogense</v>
      </c>
      <c r="B3212">
        <v>100093733</v>
      </c>
    </row>
    <row r="3213" spans="1:2" x14ac:dyDescent="0.25">
      <c r="A3213" t="str">
        <v>Fionaparken 8, 5400 Bogense</v>
      </c>
      <c r="B3213">
        <v>100093734</v>
      </c>
    </row>
    <row r="3214" spans="1:2" x14ac:dyDescent="0.25">
      <c r="A3214" t="str">
        <v>Fionaparken 6, 5400 Bogense</v>
      </c>
      <c r="B3214">
        <v>100093735</v>
      </c>
    </row>
    <row r="3215" spans="1:2" x14ac:dyDescent="0.25">
      <c r="A3215" t="str">
        <v>Fionaparken 4, 5400 Bogense</v>
      </c>
      <c r="B3215">
        <v>100093736</v>
      </c>
    </row>
    <row r="3216" spans="1:2" x14ac:dyDescent="0.25">
      <c r="A3216" t="str">
        <v>Fionaparken 11, 5400 Bogense</v>
      </c>
      <c r="B3216">
        <v>100093737</v>
      </c>
    </row>
    <row r="3217" spans="1:2" x14ac:dyDescent="0.25">
      <c r="A3217" t="str">
        <v>Fionaparken 7, 5400 Bogense</v>
      </c>
      <c r="B3217">
        <v>100093738</v>
      </c>
    </row>
    <row r="3218" spans="1:2" x14ac:dyDescent="0.25">
      <c r="A3218" t="str">
        <v>Fionaparken 7, 1. 1, 5400 Bogense</v>
      </c>
      <c r="B3218">
        <v>100093738</v>
      </c>
    </row>
    <row r="3219" spans="1:2" x14ac:dyDescent="0.25">
      <c r="A3219" t="str">
        <v>Fionaparken 7, 1. 2, 5400 Bogense</v>
      </c>
      <c r="B3219">
        <v>100093738</v>
      </c>
    </row>
    <row r="3220" spans="1:2" x14ac:dyDescent="0.25">
      <c r="A3220" t="str">
        <v>Fionaparken 7, 1. 3, 5400 Bogense</v>
      </c>
      <c r="B3220">
        <v>100093738</v>
      </c>
    </row>
    <row r="3221" spans="1:2" x14ac:dyDescent="0.25">
      <c r="A3221" t="str">
        <v>Fionaparken 7, 1. 4, 5400 Bogense</v>
      </c>
      <c r="B3221">
        <v>100093738</v>
      </c>
    </row>
    <row r="3222" spans="1:2" x14ac:dyDescent="0.25">
      <c r="A3222" t="str">
        <v>Fionaparken 7A, 5400 Bogense</v>
      </c>
      <c r="B3222">
        <v>100093738</v>
      </c>
    </row>
    <row r="3223" spans="1:2" x14ac:dyDescent="0.25">
      <c r="A3223" t="str">
        <v>Fionaparken 7B, 5400 Bogense</v>
      </c>
      <c r="B3223">
        <v>100093738</v>
      </c>
    </row>
    <row r="3224" spans="1:2" x14ac:dyDescent="0.25">
      <c r="A3224" t="str">
        <v>Fionaparken 7C, 5400 Bogense</v>
      </c>
      <c r="B3224">
        <v>100093738</v>
      </c>
    </row>
    <row r="3225" spans="1:2" x14ac:dyDescent="0.25">
      <c r="A3225" t="str">
        <v>Fionaparken 7D, 5400 Bogense</v>
      </c>
      <c r="B3225">
        <v>100093738</v>
      </c>
    </row>
    <row r="3226" spans="1:2" x14ac:dyDescent="0.25">
      <c r="A3226" t="str">
        <v>Fionaparken 9, 1. 1, 5400 Bogense</v>
      </c>
      <c r="B3226">
        <v>100093738</v>
      </c>
    </row>
    <row r="3227" spans="1:2" x14ac:dyDescent="0.25">
      <c r="A3227" t="str">
        <v>Fionaparken 9, 1. 2, 5400 Bogense</v>
      </c>
      <c r="B3227">
        <v>100093738</v>
      </c>
    </row>
    <row r="3228" spans="1:2" x14ac:dyDescent="0.25">
      <c r="A3228" t="str">
        <v>Fionaparken 9, 1. 3, 5400 Bogense</v>
      </c>
      <c r="B3228">
        <v>100093738</v>
      </c>
    </row>
    <row r="3229" spans="1:2" x14ac:dyDescent="0.25">
      <c r="A3229" t="str">
        <v>Fionaparken 9, 1. 4, 5400 Bogense</v>
      </c>
      <c r="B3229">
        <v>100093738</v>
      </c>
    </row>
    <row r="3230" spans="1:2" x14ac:dyDescent="0.25">
      <c r="A3230" t="str">
        <v>Fionaparken 9, 1. 5, 5400 Bogense</v>
      </c>
      <c r="B3230">
        <v>100093738</v>
      </c>
    </row>
    <row r="3231" spans="1:2" x14ac:dyDescent="0.25">
      <c r="A3231" t="str">
        <v>Fionaparken 9A, 5400 Bogense</v>
      </c>
      <c r="B3231">
        <v>100093738</v>
      </c>
    </row>
    <row r="3232" spans="1:2" x14ac:dyDescent="0.25">
      <c r="A3232" t="str">
        <v>Fionaparken 9B, 5400 Bogense</v>
      </c>
      <c r="B3232">
        <v>100093738</v>
      </c>
    </row>
    <row r="3233" spans="1:2" x14ac:dyDescent="0.25">
      <c r="A3233" t="str">
        <v>Fionaparken 9C, 5400 Bogense</v>
      </c>
      <c r="B3233">
        <v>100093738</v>
      </c>
    </row>
    <row r="3234" spans="1:2" x14ac:dyDescent="0.25">
      <c r="A3234" t="str">
        <v>Fionaparken 9D, 5400 Bogense</v>
      </c>
      <c r="B3234">
        <v>100093738</v>
      </c>
    </row>
    <row r="3235" spans="1:2" x14ac:dyDescent="0.25">
      <c r="A3235" t="str">
        <v>Fionaparken 9E, 5400 Bogense</v>
      </c>
      <c r="B3235">
        <v>100093738</v>
      </c>
    </row>
    <row r="3236" spans="1:2" x14ac:dyDescent="0.25">
      <c r="A3236" t="str">
        <v>Fionaparken 3A, 5400 Bogense</v>
      </c>
      <c r="B3236">
        <v>100093739</v>
      </c>
    </row>
    <row r="3237" spans="1:2" x14ac:dyDescent="0.25">
      <c r="A3237" t="str">
        <v>Fionaparken 3A, 5400 Bogense</v>
      </c>
      <c r="B3237">
        <v>100093739</v>
      </c>
    </row>
    <row r="3238" spans="1:2" x14ac:dyDescent="0.25">
      <c r="A3238" t="str">
        <v>Fionaparken 3B, 5400 Bogense</v>
      </c>
      <c r="B3238">
        <v>100093739</v>
      </c>
    </row>
    <row r="3239" spans="1:2" x14ac:dyDescent="0.25">
      <c r="A3239" t="str">
        <v>Fionaparken 3C, 5400 Bogense</v>
      </c>
      <c r="B3239">
        <v>100093739</v>
      </c>
    </row>
    <row r="3240" spans="1:2" x14ac:dyDescent="0.25">
      <c r="A3240" t="str">
        <v>Fionaparken 3D, 5400 Bogense</v>
      </c>
      <c r="B3240">
        <v>100093739</v>
      </c>
    </row>
    <row r="3241" spans="1:2" x14ac:dyDescent="0.25">
      <c r="A3241" t="str">
        <v>Fionaparken 3E, 5400 Bogense</v>
      </c>
      <c r="B3241">
        <v>100093739</v>
      </c>
    </row>
    <row r="3242" spans="1:2" x14ac:dyDescent="0.25">
      <c r="A3242" t="str">
        <v>Fionaparken 3F, 5400 Bogense</v>
      </c>
      <c r="B3242">
        <v>100093739</v>
      </c>
    </row>
    <row r="3243" spans="1:2" x14ac:dyDescent="0.25">
      <c r="A3243" t="str">
        <v>Fionaparken 3G, 5400 Bogense</v>
      </c>
      <c r="B3243">
        <v>100093739</v>
      </c>
    </row>
    <row r="3244" spans="1:2" x14ac:dyDescent="0.25">
      <c r="A3244" t="str">
        <v>Fionaparken 3H, 5400 Bogense</v>
      </c>
      <c r="B3244">
        <v>100093739</v>
      </c>
    </row>
    <row r="3245" spans="1:2" x14ac:dyDescent="0.25">
      <c r="A3245" t="str">
        <v>Fionaparken 2, 5400 Bogense</v>
      </c>
      <c r="B3245">
        <v>100093740</v>
      </c>
    </row>
    <row r="3246" spans="1:2" x14ac:dyDescent="0.25">
      <c r="A3246" t="str">
        <v>Fionaparken 2, 1. 1, 5400 Bogense</v>
      </c>
      <c r="B3246">
        <v>100093740</v>
      </c>
    </row>
    <row r="3247" spans="1:2" x14ac:dyDescent="0.25">
      <c r="A3247" t="str">
        <v>Fionaparken 2, 1. 2, 5400 Bogense</v>
      </c>
      <c r="B3247">
        <v>100093740</v>
      </c>
    </row>
    <row r="3248" spans="1:2" x14ac:dyDescent="0.25">
      <c r="A3248" t="str">
        <v>Fionaparken 2, 1. 3, 5400 Bogense</v>
      </c>
      <c r="B3248">
        <v>100093740</v>
      </c>
    </row>
    <row r="3249" spans="1:2" x14ac:dyDescent="0.25">
      <c r="A3249" t="str">
        <v>Fionaparken 2A, 5400 Bogense</v>
      </c>
      <c r="B3249">
        <v>100093740</v>
      </c>
    </row>
    <row r="3250" spans="1:2" x14ac:dyDescent="0.25">
      <c r="A3250" t="str">
        <v>Fionaparken 2B, 5400 Bogense</v>
      </c>
      <c r="B3250">
        <v>100093740</v>
      </c>
    </row>
    <row r="3251" spans="1:2" x14ac:dyDescent="0.25">
      <c r="A3251" t="str">
        <v>Fionaparken 2C, 5400 Bogense</v>
      </c>
      <c r="B3251">
        <v>100093740</v>
      </c>
    </row>
    <row r="3252" spans="1:2" x14ac:dyDescent="0.25">
      <c r="A3252" t="str">
        <v>Fionaparken 30, 5400 Bogense</v>
      </c>
      <c r="B3252">
        <v>100093761</v>
      </c>
    </row>
    <row r="3253" spans="1:2" x14ac:dyDescent="0.25">
      <c r="A3253" t="str">
        <v>Fionaparken 28, 5400 Bogense</v>
      </c>
      <c r="B3253">
        <v>100093762</v>
      </c>
    </row>
    <row r="3254" spans="1:2" x14ac:dyDescent="0.25">
      <c r="A3254" t="str">
        <v>Fionaparken 26, 5400 Bogense</v>
      </c>
      <c r="B3254">
        <v>100093764</v>
      </c>
    </row>
    <row r="3255" spans="1:2" x14ac:dyDescent="0.25">
      <c r="A3255" t="str">
        <v>Fionaparken 24, 5400 Bogense</v>
      </c>
      <c r="B3255">
        <v>100093766</v>
      </c>
    </row>
    <row r="3256" spans="1:2" x14ac:dyDescent="0.25">
      <c r="A3256" t="str">
        <v>Fionaparken 22, 5400 Bogense</v>
      </c>
      <c r="B3256">
        <v>100093767</v>
      </c>
    </row>
    <row r="3257" spans="1:2" x14ac:dyDescent="0.25">
      <c r="A3257" t="str">
        <v>Rosenhaven 23, Bogense, 5400 Bogense</v>
      </c>
      <c r="B3257">
        <v>100097049</v>
      </c>
    </row>
    <row r="3258" spans="1:2" x14ac:dyDescent="0.25">
      <c r="A3258" t="str">
        <v>Rosenhaven 27, Bogense, 5400 Bogense</v>
      </c>
      <c r="B3258">
        <v>100097050</v>
      </c>
    </row>
    <row r="3259" spans="1:2" x14ac:dyDescent="0.25">
      <c r="A3259" t="str">
        <v>Rosenhaven 16, Bogense, 5400 Bogense</v>
      </c>
      <c r="B3259">
        <v>100097051</v>
      </c>
    </row>
    <row r="3260" spans="1:2" x14ac:dyDescent="0.25">
      <c r="A3260" t="str">
        <v>Rosenhaven 18, Bogense, 5400 Bogense</v>
      </c>
      <c r="B3260">
        <v>100097052</v>
      </c>
    </row>
    <row r="3261" spans="1:2" x14ac:dyDescent="0.25">
      <c r="A3261" t="str">
        <v>Rosenhaven 20, Bogense, 5400 Bogense</v>
      </c>
      <c r="B3261">
        <v>100097053</v>
      </c>
    </row>
    <row r="3262" spans="1:2" x14ac:dyDescent="0.25">
      <c r="A3262" t="str">
        <v>Rosenhaven 22, Bogense, 5400 Bogense</v>
      </c>
      <c r="B3262">
        <v>100097054</v>
      </c>
    </row>
    <row r="3263" spans="1:2" x14ac:dyDescent="0.25">
      <c r="A3263" t="str">
        <v>Rosenhaven 24, Bogense, 5400 Bogense</v>
      </c>
      <c r="B3263">
        <v>100097055</v>
      </c>
    </row>
    <row r="3264" spans="1:2" x14ac:dyDescent="0.25">
      <c r="A3264" t="str">
        <v>Rosenhaven 26, Bogense, 5400 Bogense</v>
      </c>
      <c r="B3264">
        <v>100097056</v>
      </c>
    </row>
    <row r="3265" spans="1:2" x14ac:dyDescent="0.25">
      <c r="A3265" t="str">
        <v>Rosenhaven 28, Bogense, 5400 Bogense</v>
      </c>
      <c r="B3265">
        <v>100097057</v>
      </c>
    </row>
    <row r="3266" spans="1:2" x14ac:dyDescent="0.25">
      <c r="A3266" t="str">
        <v>Hotelpassagen 4, 5400 Bogense</v>
      </c>
      <c r="B3266">
        <v>100098599</v>
      </c>
    </row>
    <row r="3267" spans="1:2" x14ac:dyDescent="0.25">
      <c r="A3267" t="str">
        <v>Hotelpassagen 1, 5400 Bogense</v>
      </c>
      <c r="B3267">
        <v>100098600</v>
      </c>
    </row>
    <row r="3268" spans="1:2" x14ac:dyDescent="0.25">
      <c r="A3268" t="str">
        <v>Hotelpassagen 8, 5400 Bogense</v>
      </c>
      <c r="B3268">
        <v>100098601</v>
      </c>
    </row>
    <row r="3269" spans="1:2" x14ac:dyDescent="0.25">
      <c r="A3269">
        <v>0</v>
      </c>
      <c r="B3269">
        <v>100103244</v>
      </c>
    </row>
    <row r="3270" spans="1:2" x14ac:dyDescent="0.25">
      <c r="A3270" t="str">
        <v>Odensevej 38, 5400 Bogense</v>
      </c>
      <c r="B3270">
        <v>100195317</v>
      </c>
    </row>
    <row r="3271" spans="1:2" x14ac:dyDescent="0.25">
      <c r="A3271">
        <v>0</v>
      </c>
      <c r="B3271">
        <v>100219030</v>
      </c>
    </row>
    <row r="3272" spans="1:2" x14ac:dyDescent="0.25">
      <c r="A3272" t="str">
        <v>Norgesvej 11, 5400 Bogense</v>
      </c>
      <c r="B3272">
        <v>100398834</v>
      </c>
    </row>
    <row r="3273" spans="1:2" x14ac:dyDescent="0.25">
      <c r="A3273" t="str">
        <v>Norgesvej 9, 5400 Bogense</v>
      </c>
      <c r="B3273">
        <v>100398835</v>
      </c>
    </row>
    <row r="3274" spans="1:2" x14ac:dyDescent="0.25">
      <c r="A3274" t="str">
        <v>Norgesvej 7, Bogense, 5400 Bogense</v>
      </c>
      <c r="B3274">
        <v>100398836</v>
      </c>
    </row>
    <row r="3275" spans="1:2" x14ac:dyDescent="0.25">
      <c r="A3275">
        <v>0</v>
      </c>
      <c r="B3275">
        <v>100398837</v>
      </c>
    </row>
    <row r="3276" spans="1:2" x14ac:dyDescent="0.25">
      <c r="A3276" t="str">
        <v>Norgesvej 1, 5400 Bogense</v>
      </c>
      <c r="B3276">
        <v>100398838</v>
      </c>
    </row>
    <row r="3277" spans="1:2" x14ac:dyDescent="0.25">
      <c r="A3277" t="str">
        <v>Norgesvej 3, Bogense, 5400 Bogense</v>
      </c>
      <c r="B3277">
        <v>100398839</v>
      </c>
    </row>
    <row r="3278" spans="1:2" x14ac:dyDescent="0.25">
      <c r="A3278" t="str">
        <v>Rolighedsvej 5A, 5400 Bogense</v>
      </c>
      <c r="B3278">
        <v>100423868</v>
      </c>
    </row>
    <row r="3279" spans="1:2" x14ac:dyDescent="0.25">
      <c r="A3279" t="str">
        <v>Kristianslundsvej 30, Grønløkke, 5400 Bogense</v>
      </c>
      <c r="B3279">
        <v>100572456</v>
      </c>
    </row>
    <row r="3280" spans="1:2" x14ac:dyDescent="0.25">
      <c r="A3280" t="str">
        <v>Jyllandsvej 1A, 5400 Bogense</v>
      </c>
      <c r="B3280">
        <v>100611445</v>
      </c>
    </row>
    <row r="3281" spans="1:2" x14ac:dyDescent="0.25">
      <c r="A3281" t="str">
        <v>Sct. Anna Park 25, 5400 Bogense</v>
      </c>
      <c r="B3281">
        <v>100732885</v>
      </c>
    </row>
  </sheetData>
  <autoFilter ref="A2:A3281" xr:uid="{00000000-0009-0000-0000-000002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2fd9ab9-3dd8-4ae8-aa32-609cc37be84c">
      <Terms xmlns="http://schemas.microsoft.com/office/infopath/2007/PartnerControls"/>
    </lcf76f155ced4ddcb4097134ff3c332f>
    <TaxCatchAll xmlns="dadac2ad-4fd9-4e3b-b711-e1393d083ad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C1D676B3A3B494C94C6CC9DE5BD6DAC" ma:contentTypeVersion="18" ma:contentTypeDescription="Opret et nyt dokument." ma:contentTypeScope="" ma:versionID="ad9b9b17716846fb184707b06ac6568a">
  <xsd:schema xmlns:xsd="http://www.w3.org/2001/XMLSchema" xmlns:xs="http://www.w3.org/2001/XMLSchema" xmlns:p="http://schemas.microsoft.com/office/2006/metadata/properties" xmlns:ns2="12fd9ab9-3dd8-4ae8-aa32-609cc37be84c" xmlns:ns3="dadac2ad-4fd9-4e3b-b711-e1393d083adb" targetNamespace="http://schemas.microsoft.com/office/2006/metadata/properties" ma:root="true" ma:fieldsID="7520c89dbf90d4f224d55cd9508bcfb5" ns2:_="" ns3:_="">
    <xsd:import namespace="12fd9ab9-3dd8-4ae8-aa32-609cc37be84c"/>
    <xsd:import namespace="dadac2ad-4fd9-4e3b-b711-e1393d083a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d9ab9-3dd8-4ae8-aa32-609cc37be8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69268485-f8ec-403a-9014-f5994a89559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adac2ad-4fd9-4e3b-b711-e1393d083adb" elementFormDefault="qualified">
    <xsd:import namespace="http://schemas.microsoft.com/office/2006/documentManagement/types"/>
    <xsd:import namespace="http://schemas.microsoft.com/office/infopath/2007/PartnerControls"/>
    <xsd:element name="SharedWithUsers" ma:index="19"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f24d6605-7776-400b-8481-ea749a93273d}" ma:internalName="TaxCatchAll" ma:showField="CatchAllData" ma:web="dadac2ad-4fd9-4e3b-b711-e1393d083a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30C9C0-1671-4850-B837-FE149B7EB537}">
  <ds:schemaRefs>
    <ds:schemaRef ds:uri="http://schemas.microsoft.com/office/2006/metadata/properties"/>
    <ds:schemaRef ds:uri="http://schemas.microsoft.com/office/infopath/2007/PartnerControls"/>
    <ds:schemaRef ds:uri="12fd9ab9-3dd8-4ae8-aa32-609cc37be84c"/>
    <ds:schemaRef ds:uri="dadac2ad-4fd9-4e3b-b711-e1393d083adb"/>
  </ds:schemaRefs>
</ds:datastoreItem>
</file>

<file path=customXml/itemProps2.xml><?xml version="1.0" encoding="utf-8"?>
<ds:datastoreItem xmlns:ds="http://schemas.openxmlformats.org/officeDocument/2006/customXml" ds:itemID="{F39353C7-B7D9-49D4-9373-7826CE1C0FE6}">
  <ds:schemaRefs>
    <ds:schemaRef ds:uri="http://schemas.microsoft.com/sharepoint/v3/contenttype/forms"/>
  </ds:schemaRefs>
</ds:datastoreItem>
</file>

<file path=customXml/itemProps3.xml><?xml version="1.0" encoding="utf-8"?>
<ds:datastoreItem xmlns:ds="http://schemas.openxmlformats.org/officeDocument/2006/customXml" ds:itemID="{CF5A64AC-0713-460C-B327-515A36D346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d9ab9-3dd8-4ae8-aa32-609cc37be84c"/>
    <ds:schemaRef ds:uri="dadac2ad-4fd9-4e3b-b711-e1393d083a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Navngivne områder</vt:lpstr>
      </vt:variant>
      <vt:variant>
        <vt:i4>1</vt:i4>
      </vt:variant>
    </vt:vector>
  </HeadingPairs>
  <TitlesOfParts>
    <vt:vector size="4" baseType="lpstr">
      <vt:lpstr>Oversigt parter</vt:lpstr>
      <vt:lpstr>Zoom to ejendom</vt:lpstr>
      <vt:lpstr>Find BFE-nummer</vt:lpstr>
      <vt:lpstr>'Oversigt parter'!Udskriftstitler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Stine Hjære Hansen</dc:creator>
  <cp:lastModifiedBy>Danny Bøllingtoft</cp:lastModifiedBy>
  <cp:lastPrinted>2026-03-12T08:59:38Z</cp:lastPrinted>
  <dcterms:created xsi:type="dcterms:W3CDTF">2025-12-09T12:42:31Z</dcterms:created>
  <dcterms:modified xsi:type="dcterms:W3CDTF">2026-03-12T08:59:48Z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0x010100EC1D676B3A3B494C94C6CC9DE5BD6DAC</vt:lpwstr>
  </property>
  <property fmtid="{D5CDD505-2E9C-101B-9397-08002B2CF9AE}" pid="3" name="MediaServiceImageTags">
    <vt:lpwstr/>
  </property>
</Properties>
</file>