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Denne_projektmappe"/>
  <mc:AlternateContent xmlns:mc="http://schemas.openxmlformats.org/markup-compatibility/2006">
    <mc:Choice Requires="x15">
      <x15ac:absPath xmlns:x15ac="http://schemas.microsoft.com/office/spreadsheetml/2010/11/ac" url="P:\Bidragsfordeling - dok\"/>
    </mc:Choice>
  </mc:AlternateContent>
  <xr:revisionPtr revIDLastSave="0" documentId="8_{780D95BC-DCD6-4E16-9C16-4474840E2C07}" xr6:coauthVersionLast="47" xr6:coauthVersionMax="47" xr10:uidLastSave="{00000000-0000-0000-0000-000000000000}"/>
  <bookViews>
    <workbookView xWindow="-110" yWindow="-110" windowWidth="19420" windowHeight="11500" tabRatio="671" xr2:uid="{00000000-000D-0000-FFFF-FFFF00000000}"/>
  </bookViews>
  <sheets>
    <sheet name="Overs" sheetId="41" r:id="rId1"/>
    <sheet name="Beregning og partsberegning" sheetId="5" r:id="rId2"/>
    <sheet name="1" sheetId="2" r:id="rId3"/>
    <sheet name="1 ø" sheetId="6" r:id="rId4"/>
    <sheet name="1e_str3" sheetId="43" r:id="rId5"/>
    <sheet name="1ie_str3" sheetId="49" r:id="rId6"/>
    <sheet name="2" sheetId="7" r:id="rId7"/>
    <sheet name="2ø" sheetId="8" r:id="rId8"/>
    <sheet name="3" sheetId="9" r:id="rId9"/>
    <sheet name="3ø" sheetId="21" r:id="rId10"/>
    <sheet name="3e_str3 " sheetId="44" r:id="rId11"/>
    <sheet name="3ie_str3" sheetId="50" r:id="rId12"/>
    <sheet name="4" sheetId="10" r:id="rId13"/>
    <sheet name="4ø" sheetId="24" r:id="rId14"/>
    <sheet name="5 " sheetId="25" r:id="rId15"/>
    <sheet name="6" sheetId="12" r:id="rId16"/>
    <sheet name="6ø" sheetId="11" r:id="rId17"/>
    <sheet name="7" sheetId="26" r:id="rId18"/>
    <sheet name="8" sheetId="13" r:id="rId19"/>
    <sheet name="8ø" sheetId="27" r:id="rId20"/>
    <sheet name="9" sheetId="28" r:id="rId21"/>
    <sheet name="10" sheetId="16" r:id="rId22"/>
    <sheet name="10ø" sheetId="34" r:id="rId23"/>
    <sheet name="10ie_str3" sheetId="51" r:id="rId24"/>
    <sheet name="11" sheetId="29" r:id="rId25"/>
    <sheet name="11ø" sheetId="35" r:id="rId26"/>
    <sheet name="12" sheetId="30" r:id="rId27"/>
    <sheet name="12ø" sheetId="36" r:id="rId28"/>
    <sheet name="13" sheetId="37" r:id="rId29"/>
    <sheet name="13ø" sheetId="31" r:id="rId30"/>
    <sheet name="13e_str3" sheetId="45" r:id="rId31"/>
    <sheet name="13ie_str3" sheetId="52" r:id="rId32"/>
    <sheet name="14" sheetId="32" r:id="rId33"/>
    <sheet name="14ø" sheetId="38" r:id="rId34"/>
    <sheet name="14e_str3" sheetId="46" r:id="rId35"/>
    <sheet name="14ie_str3" sheetId="53" r:id="rId36"/>
    <sheet name="15" sheetId="33" r:id="rId37"/>
    <sheet name="15ø" sheetId="40" r:id="rId38"/>
    <sheet name="15e_str3" sheetId="47" r:id="rId39"/>
    <sheet name="15ie_str3" sheetId="54" r:id="rId40"/>
  </sheets>
  <definedNames>
    <definedName name="_xlnm.Print_Area" localSheetId="2">'1'!$A$1:$X$29</definedName>
    <definedName name="_xlnm.Print_Area" localSheetId="30">'13e_str3'!$A$1:$X$16</definedName>
    <definedName name="_xlnm.Print_Area" localSheetId="34">'14e_str3'!$A$1:$X$16</definedName>
    <definedName name="_xlnm.Print_Area" localSheetId="38">'15e_str3'!$A$1:$X$17</definedName>
    <definedName name="_xlnm.Print_Area" localSheetId="4">'1e_str3'!$A$1:$X$16</definedName>
    <definedName name="_xlnm.Print_Area" localSheetId="10">'3e_str3 '!$A$1:$X$19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5" l="1"/>
  <c r="O20" i="33"/>
  <c r="O16" i="29"/>
  <c r="O15" i="47"/>
  <c r="J14" i="33"/>
  <c r="L14" i="33" s="1"/>
  <c r="E19" i="40"/>
  <c r="D38" i="5"/>
  <c r="F46" i="5" s="1"/>
  <c r="J13" i="47" s="1"/>
  <c r="H17" i="54"/>
  <c r="H16" i="54"/>
  <c r="H15" i="40"/>
  <c r="K16" i="33"/>
  <c r="J12" i="33"/>
  <c r="P17" i="41"/>
  <c r="D25" i="5"/>
  <c r="D13" i="5"/>
  <c r="D14" i="5" s="1"/>
  <c r="D15" i="5" s="1"/>
  <c r="D18" i="5"/>
  <c r="D19" i="5"/>
  <c r="E24" i="38"/>
  <c r="O30" i="32"/>
  <c r="O19" i="37"/>
  <c r="O17" i="30"/>
  <c r="E16" i="35"/>
  <c r="E19" i="34"/>
  <c r="P16" i="41" s="1"/>
  <c r="O21" i="16"/>
  <c r="O16" i="28"/>
  <c r="O14" i="26"/>
  <c r="O14" i="12"/>
  <c r="O19" i="25"/>
  <c r="E23" i="24"/>
  <c r="O25" i="10"/>
  <c r="O17" i="9"/>
  <c r="E18" i="8"/>
  <c r="O20" i="7"/>
  <c r="E27" i="6"/>
  <c r="O27" i="2"/>
  <c r="P7" i="41"/>
  <c r="E14" i="11"/>
  <c r="P19" i="41"/>
  <c r="E19" i="31"/>
  <c r="P18" i="41"/>
  <c r="E17" i="36"/>
  <c r="P15" i="41"/>
  <c r="P14" i="41"/>
  <c r="E14" i="27"/>
  <c r="O14" i="13"/>
  <c r="P13" i="41"/>
  <c r="P12" i="41"/>
  <c r="P11" i="41"/>
  <c r="P9" i="41"/>
  <c r="E17" i="21"/>
  <c r="P8" i="41"/>
  <c r="O14" i="43"/>
  <c r="O14" i="46"/>
  <c r="O14" i="45"/>
  <c r="O17" i="44"/>
  <c r="F34" i="5"/>
  <c r="J12" i="47" l="1"/>
  <c r="L12" i="47"/>
  <c r="P21" i="41"/>
  <c r="O12" i="41"/>
  <c r="P20" i="41"/>
  <c r="P10" i="41"/>
  <c r="P22" i="41"/>
  <c r="F45" i="5"/>
  <c r="K12" i="43"/>
  <c r="K12" i="44"/>
  <c r="K12" i="46"/>
  <c r="L12" i="46" s="1"/>
  <c r="G12" i="54"/>
  <c r="G13" i="54" s="1"/>
  <c r="G14" i="54" s="1"/>
  <c r="H12" i="53"/>
  <c r="I12" i="53" s="1"/>
  <c r="G12" i="52"/>
  <c r="G13" i="52" s="1"/>
  <c r="G12" i="51"/>
  <c r="I12" i="51" s="1"/>
  <c r="G12" i="50"/>
  <c r="I12" i="50" s="1"/>
  <c r="G12" i="49" a="1"/>
  <c r="G12" i="49" s="1"/>
  <c r="H34" i="5"/>
  <c r="G11" i="53" s="1"/>
  <c r="I11" i="53" s="1"/>
  <c r="C3" i="54"/>
  <c r="C3" i="53"/>
  <c r="C3" i="52"/>
  <c r="C3" i="51"/>
  <c r="C3" i="50"/>
  <c r="C3" i="49"/>
  <c r="C3" i="47"/>
  <c r="C3" i="46"/>
  <c r="I14" i="54" l="1"/>
  <c r="M12" i="41"/>
  <c r="I12" i="49"/>
  <c r="H14" i="49"/>
  <c r="I14" i="49" s="1"/>
  <c r="K14" i="44"/>
  <c r="I12" i="52"/>
  <c r="H13" i="53"/>
  <c r="I13" i="53" s="1"/>
  <c r="I15" i="53" s="1"/>
  <c r="J20" i="41" s="1"/>
  <c r="I12" i="54"/>
  <c r="I13" i="52"/>
  <c r="H15" i="52"/>
  <c r="H16" i="52" s="1"/>
  <c r="I16" i="52" s="1"/>
  <c r="I13" i="54"/>
  <c r="H14" i="51"/>
  <c r="I14" i="51" s="1"/>
  <c r="I16" i="51" s="1"/>
  <c r="J16" i="41" s="1"/>
  <c r="H14" i="50"/>
  <c r="I14" i="50" s="1"/>
  <c r="I16" i="50" s="1"/>
  <c r="J9" i="41" s="1"/>
  <c r="C3" i="45"/>
  <c r="C3" i="44"/>
  <c r="I17" i="54" l="1"/>
  <c r="I16" i="54"/>
  <c r="I15" i="52"/>
  <c r="I18" i="52"/>
  <c r="J19" i="41" s="1"/>
  <c r="C3" i="43"/>
  <c r="C3" i="40"/>
  <c r="C3" i="33"/>
  <c r="C3" i="38"/>
  <c r="C3" i="32"/>
  <c r="C3" i="31"/>
  <c r="C3" i="37"/>
  <c r="C3" i="36"/>
  <c r="C3" i="30"/>
  <c r="C3" i="35"/>
  <c r="C3" i="29"/>
  <c r="C3" i="34"/>
  <c r="C3" i="16"/>
  <c r="C3" i="28"/>
  <c r="C3" i="27"/>
  <c r="C3" i="13"/>
  <c r="C3" i="26"/>
  <c r="C3" i="11"/>
  <c r="C3" i="12"/>
  <c r="C3" i="25"/>
  <c r="C3" i="24"/>
  <c r="C3" i="10"/>
  <c r="C3" i="9"/>
  <c r="C3" i="21"/>
  <c r="I16" i="49" l="1"/>
  <c r="J7" i="41" s="1"/>
  <c r="I19" i="54"/>
  <c r="J21" i="41" s="1"/>
  <c r="C3" i="8"/>
  <c r="C3" i="7"/>
  <c r="C3" i="6"/>
  <c r="C3" i="2"/>
  <c r="D20" i="5"/>
  <c r="D21" i="5"/>
  <c r="D22" i="5" s="1"/>
  <c r="L13" i="47" l="1"/>
  <c r="L14" i="46"/>
  <c r="I20" i="41" s="1"/>
  <c r="L12" i="44"/>
  <c r="L17" i="44" s="1"/>
  <c r="I9" i="41" s="1"/>
  <c r="K12" i="45"/>
  <c r="L12" i="43"/>
  <c r="L14" i="43" s="1"/>
  <c r="I7" i="41" s="1"/>
  <c r="H12" i="41"/>
  <c r="G12" i="41"/>
  <c r="K12" i="41" s="1"/>
  <c r="L12" i="41" s="1"/>
  <c r="L15" i="47" l="1"/>
  <c r="I21" i="41" s="1"/>
  <c r="L12" i="45"/>
  <c r="L14" i="45" s="1"/>
  <c r="I19" i="41" s="1"/>
  <c r="K15" i="44"/>
  <c r="L15" i="44" s="1"/>
  <c r="L14" i="44"/>
  <c r="L24" i="32" l="1"/>
  <c r="N12" i="41" l="1"/>
  <c r="J14" i="2" l="1"/>
  <c r="F35" i="5"/>
  <c r="J13" i="37" l="1"/>
  <c r="J13" i="30"/>
  <c r="L13" i="30" s="1"/>
  <c r="J12" i="29"/>
  <c r="L12" i="29" s="1"/>
  <c r="J13" i="25"/>
  <c r="J12" i="9"/>
  <c r="J13" i="7"/>
  <c r="L13" i="7" s="1"/>
  <c r="J15" i="7"/>
  <c r="L15" i="7" s="1"/>
  <c r="J16" i="7"/>
  <c r="L16" i="7" s="1"/>
  <c r="J14" i="7"/>
  <c r="L14" i="7" s="1"/>
  <c r="J12" i="7"/>
  <c r="L12" i="7" s="1"/>
  <c r="J12" i="2"/>
  <c r="L12" i="2" s="1"/>
  <c r="G12" i="40"/>
  <c r="K17" i="25"/>
  <c r="L17" i="25" s="1"/>
  <c r="J15" i="33"/>
  <c r="G16" i="38"/>
  <c r="I16" i="38" s="1"/>
  <c r="G17" i="38"/>
  <c r="I17" i="38" s="1"/>
  <c r="H20" i="38"/>
  <c r="I20" i="38" s="1"/>
  <c r="G13" i="38"/>
  <c r="I13" i="38" s="1"/>
  <c r="H19" i="38"/>
  <c r="I19" i="38" s="1"/>
  <c r="H21" i="38"/>
  <c r="I21" i="38" s="1"/>
  <c r="H22" i="38"/>
  <c r="I22" i="38" s="1"/>
  <c r="G12" i="38"/>
  <c r="I12" i="38" s="1"/>
  <c r="G14" i="38"/>
  <c r="I14" i="38" s="1"/>
  <c r="G15" i="38"/>
  <c r="I15" i="38" s="1"/>
  <c r="J13" i="32"/>
  <c r="L13" i="32" s="1"/>
  <c r="J14" i="32"/>
  <c r="L14" i="32" s="1"/>
  <c r="J16" i="32"/>
  <c r="L16" i="32" s="1"/>
  <c r="J17" i="32"/>
  <c r="L17" i="32" s="1"/>
  <c r="J20" i="32"/>
  <c r="L20" i="32" s="1"/>
  <c r="J23" i="32"/>
  <c r="J19" i="32"/>
  <c r="L19" i="32" s="1"/>
  <c r="J22" i="32"/>
  <c r="L22" i="32" s="1"/>
  <c r="J15" i="32"/>
  <c r="L15" i="32" s="1"/>
  <c r="J21" i="32"/>
  <c r="L21" i="32" s="1"/>
  <c r="J18" i="32"/>
  <c r="L18" i="32" s="1"/>
  <c r="J12" i="32"/>
  <c r="L12" i="32" s="1"/>
  <c r="G12" i="31"/>
  <c r="J12" i="37"/>
  <c r="G12" i="36"/>
  <c r="J12" i="30"/>
  <c r="G12" i="35"/>
  <c r="K14" i="29"/>
  <c r="J12" i="16"/>
  <c r="G12" i="34"/>
  <c r="G13" i="34"/>
  <c r="J12" i="28"/>
  <c r="G12" i="27"/>
  <c r="I12" i="27" s="1"/>
  <c r="I14" i="27" s="1"/>
  <c r="J12" i="13"/>
  <c r="L12" i="13" s="1"/>
  <c r="L14" i="13" s="1"/>
  <c r="K12" i="26"/>
  <c r="H12" i="11"/>
  <c r="I12" i="11" s="1"/>
  <c r="K12" i="12"/>
  <c r="L12" i="12" s="1"/>
  <c r="G13" i="24"/>
  <c r="I13" i="24" s="1"/>
  <c r="G16" i="24"/>
  <c r="I16" i="24" s="1"/>
  <c r="G18" i="24"/>
  <c r="G14" i="24"/>
  <c r="I14" i="24" s="1"/>
  <c r="G17" i="24"/>
  <c r="I17" i="24" s="1"/>
  <c r="G15" i="24"/>
  <c r="I15" i="24" s="1"/>
  <c r="G12" i="24"/>
  <c r="I12" i="24" s="1"/>
  <c r="J17" i="10"/>
  <c r="L17" i="10" s="1"/>
  <c r="J15" i="10"/>
  <c r="L15" i="10" s="1"/>
  <c r="J18" i="10"/>
  <c r="L18" i="10" s="1"/>
  <c r="J19" i="10"/>
  <c r="J12" i="10"/>
  <c r="L12" i="10" s="1"/>
  <c r="J13" i="10"/>
  <c r="L13" i="10" s="1"/>
  <c r="J14" i="10"/>
  <c r="L14" i="10" s="1"/>
  <c r="J16" i="10"/>
  <c r="L16" i="10" s="1"/>
  <c r="G12" i="21"/>
  <c r="K15" i="9"/>
  <c r="L15" i="9" s="1"/>
  <c r="G12" i="8"/>
  <c r="G13" i="8"/>
  <c r="I13" i="8" s="1"/>
  <c r="K18" i="7"/>
  <c r="G13" i="6"/>
  <c r="I13" i="6" s="1"/>
  <c r="G15" i="6"/>
  <c r="I15" i="6" s="1"/>
  <c r="G16" i="6"/>
  <c r="I16" i="6" s="1"/>
  <c r="G22" i="6"/>
  <c r="I22" i="6" s="1"/>
  <c r="G17" i="6"/>
  <c r="I17" i="6" s="1"/>
  <c r="G18" i="6"/>
  <c r="I18" i="6" s="1"/>
  <c r="G19" i="6"/>
  <c r="I19" i="6" s="1"/>
  <c r="H25" i="6"/>
  <c r="I25" i="6" s="1"/>
  <c r="G14" i="6"/>
  <c r="I14" i="6" s="1"/>
  <c r="H20" i="6"/>
  <c r="I20" i="6" s="1"/>
  <c r="H21" i="6"/>
  <c r="I21" i="6" s="1"/>
  <c r="G12" i="6"/>
  <c r="I12" i="6" s="1"/>
  <c r="G23" i="6"/>
  <c r="I23" i="6" s="1"/>
  <c r="J22" i="2"/>
  <c r="L22" i="2" s="1"/>
  <c r="K20" i="2"/>
  <c r="J16" i="2"/>
  <c r="L16" i="2" s="1"/>
  <c r="J19" i="2"/>
  <c r="L19" i="2" s="1"/>
  <c r="J13" i="33"/>
  <c r="L13" i="33" s="1"/>
  <c r="J15" i="16"/>
  <c r="J12" i="25"/>
  <c r="L12" i="25" s="1"/>
  <c r="J23" i="2"/>
  <c r="L23" i="2" s="1"/>
  <c r="J13" i="2"/>
  <c r="L13" i="2" s="1"/>
  <c r="K21" i="2"/>
  <c r="K25" i="2" s="1"/>
  <c r="L25" i="2" s="1"/>
  <c r="J17" i="2"/>
  <c r="L17" i="2" s="1"/>
  <c r="J15" i="2"/>
  <c r="L15" i="2" s="1"/>
  <c r="J18" i="2"/>
  <c r="L18" i="2" s="1"/>
  <c r="L14" i="2"/>
  <c r="I24" i="38" l="1"/>
  <c r="H17" i="31"/>
  <c r="H16" i="31"/>
  <c r="I13" i="34"/>
  <c r="G14" i="34"/>
  <c r="I14" i="34" s="1"/>
  <c r="I27" i="6"/>
  <c r="K17" i="37"/>
  <c r="L17" i="37" s="1"/>
  <c r="K16" i="37"/>
  <c r="L16" i="37" s="1"/>
  <c r="L14" i="29"/>
  <c r="L16" i="29" s="1"/>
  <c r="L12" i="26"/>
  <c r="L14" i="26" s="1"/>
  <c r="L18" i="7"/>
  <c r="L20" i="7" s="1"/>
  <c r="L21" i="2"/>
  <c r="L20" i="2"/>
  <c r="L13" i="25"/>
  <c r="J14" i="25"/>
  <c r="L14" i="25" s="1"/>
  <c r="L13" i="37"/>
  <c r="J14" i="37"/>
  <c r="L14" i="37" s="1"/>
  <c r="J13" i="9"/>
  <c r="L13" i="9" s="1"/>
  <c r="L12" i="9"/>
  <c r="L12" i="33"/>
  <c r="I12" i="8"/>
  <c r="H16" i="8"/>
  <c r="I16" i="8" s="1"/>
  <c r="H15" i="8"/>
  <c r="I15" i="8" s="1"/>
  <c r="G14" i="41"/>
  <c r="J14" i="16"/>
  <c r="L14" i="16" s="1"/>
  <c r="L12" i="16"/>
  <c r="J13" i="16"/>
  <c r="H16" i="34"/>
  <c r="I16" i="34" s="1"/>
  <c r="I12" i="34"/>
  <c r="K15" i="30"/>
  <c r="L15" i="30" s="1"/>
  <c r="L12" i="30"/>
  <c r="L12" i="37"/>
  <c r="I12" i="36"/>
  <c r="H15" i="36"/>
  <c r="I15" i="36" s="1"/>
  <c r="H14" i="36"/>
  <c r="I14" i="36" s="1"/>
  <c r="H20" i="24"/>
  <c r="I20" i="24" s="1"/>
  <c r="I18" i="24"/>
  <c r="H14" i="35"/>
  <c r="I14" i="35" s="1"/>
  <c r="I12" i="35"/>
  <c r="J16" i="16"/>
  <c r="L16" i="16" s="1"/>
  <c r="L15" i="16"/>
  <c r="L15" i="33"/>
  <c r="L12" i="28"/>
  <c r="K14" i="28"/>
  <c r="L14" i="28" s="1"/>
  <c r="L19" i="10"/>
  <c r="K20" i="10"/>
  <c r="L20" i="10" s="1"/>
  <c r="H14" i="41"/>
  <c r="I12" i="31"/>
  <c r="G13" i="31"/>
  <c r="G13" i="40"/>
  <c r="I12" i="40"/>
  <c r="G13" i="21"/>
  <c r="I12" i="21"/>
  <c r="K25" i="32"/>
  <c r="L25" i="32" s="1"/>
  <c r="K26" i="32"/>
  <c r="L26" i="32" s="1"/>
  <c r="L23" i="32"/>
  <c r="K14" i="41" l="1"/>
  <c r="L19" i="25"/>
  <c r="G11" i="41" s="1"/>
  <c r="K11" i="41" s="1"/>
  <c r="I18" i="8"/>
  <c r="L27" i="2"/>
  <c r="G7" i="41" s="1"/>
  <c r="L19" i="37"/>
  <c r="L17" i="30"/>
  <c r="G17" i="41"/>
  <c r="L16" i="28"/>
  <c r="G15" i="41" s="1"/>
  <c r="K15" i="41" s="1"/>
  <c r="G13" i="41"/>
  <c r="K13" i="41" s="1"/>
  <c r="L17" i="9"/>
  <c r="G8" i="41"/>
  <c r="I16" i="35"/>
  <c r="H17" i="34"/>
  <c r="I17" i="34" s="1"/>
  <c r="H20" i="41"/>
  <c r="L13" i="16"/>
  <c r="K18" i="16"/>
  <c r="L18" i="16" s="1"/>
  <c r="I17" i="36"/>
  <c r="K21" i="10"/>
  <c r="L21" i="10" s="1"/>
  <c r="L16" i="33"/>
  <c r="I13" i="31"/>
  <c r="G14" i="31"/>
  <c r="H21" i="24"/>
  <c r="I21" i="24" s="1"/>
  <c r="K27" i="32"/>
  <c r="L27" i="32" s="1"/>
  <c r="I13" i="21"/>
  <c r="H15" i="21"/>
  <c r="I15" i="21" s="1"/>
  <c r="H7" i="41"/>
  <c r="I13" i="40"/>
  <c r="G14" i="40"/>
  <c r="O13" i="41" l="1"/>
  <c r="M13" i="41"/>
  <c r="O15" i="41"/>
  <c r="M15" i="41"/>
  <c r="O11" i="41"/>
  <c r="M11" i="41"/>
  <c r="O14" i="41"/>
  <c r="M14" i="41"/>
  <c r="K7" i="41"/>
  <c r="L15" i="41"/>
  <c r="L11" i="41"/>
  <c r="L13" i="41"/>
  <c r="L14" i="41"/>
  <c r="G19" i="41"/>
  <c r="G18" i="41"/>
  <c r="I17" i="21"/>
  <c r="H17" i="41"/>
  <c r="K17" i="41" s="1"/>
  <c r="G9" i="41"/>
  <c r="I23" i="24"/>
  <c r="K18" i="33"/>
  <c r="L18" i="33" s="1"/>
  <c r="I14" i="40"/>
  <c r="I14" i="31"/>
  <c r="K23" i="10"/>
  <c r="I19" i="34"/>
  <c r="K28" i="32"/>
  <c r="K19" i="16"/>
  <c r="L19" i="16" s="1"/>
  <c r="L21" i="16" s="1"/>
  <c r="H8" i="41"/>
  <c r="K8" i="41" s="1"/>
  <c r="H18" i="41"/>
  <c r="O8" i="41" l="1"/>
  <c r="M8" i="41"/>
  <c r="O17" i="41"/>
  <c r="M17" i="41"/>
  <c r="O7" i="41"/>
  <c r="L7" i="41"/>
  <c r="M7" i="41"/>
  <c r="L17" i="41"/>
  <c r="L8" i="41"/>
  <c r="K18" i="41"/>
  <c r="N13" i="41"/>
  <c r="H10" i="41"/>
  <c r="L28" i="32"/>
  <c r="L30" i="32" s="1"/>
  <c r="H9" i="41"/>
  <c r="K9" i="41" s="1"/>
  <c r="L23" i="10"/>
  <c r="L20" i="33"/>
  <c r="G21" i="41" s="1"/>
  <c r="N14" i="41"/>
  <c r="H16" i="41"/>
  <c r="I16" i="31"/>
  <c r="N15" i="41"/>
  <c r="G16" i="41"/>
  <c r="O9" i="41" l="1"/>
  <c r="M9" i="41"/>
  <c r="O18" i="41"/>
  <c r="M18" i="41"/>
  <c r="L18" i="41"/>
  <c r="L9" i="41"/>
  <c r="K16" i="41"/>
  <c r="G20" i="41"/>
  <c r="K20" i="41" s="1"/>
  <c r="N17" i="41"/>
  <c r="L25" i="10"/>
  <c r="N11" i="41"/>
  <c r="N8" i="41"/>
  <c r="I15" i="40"/>
  <c r="I17" i="31"/>
  <c r="O20" i="41" l="1"/>
  <c r="M20" i="41"/>
  <c r="O16" i="41"/>
  <c r="M16" i="41"/>
  <c r="L16" i="41"/>
  <c r="L20" i="41"/>
  <c r="N9" i="41"/>
  <c r="N18" i="41"/>
  <c r="G10" i="41"/>
  <c r="K10" i="41" s="1"/>
  <c r="I19" i="31"/>
  <c r="H17" i="40"/>
  <c r="I17" i="40" s="1"/>
  <c r="I19" i="40" s="1"/>
  <c r="O10" i="41" l="1"/>
  <c r="M10" i="41"/>
  <c r="L10" i="41"/>
  <c r="N16" i="41"/>
  <c r="N20" i="41"/>
  <c r="H19" i="41"/>
  <c r="K19" i="41" s="1"/>
  <c r="H21" i="41"/>
  <c r="K21" i="41" s="1"/>
  <c r="O21" i="41" l="1"/>
  <c r="M21" i="41"/>
  <c r="O19" i="41"/>
  <c r="M19" i="41"/>
  <c r="L21" i="41"/>
  <c r="L19" i="41"/>
  <c r="N10" i="41"/>
  <c r="N19" i="41" l="1"/>
  <c r="N21" i="41"/>
  <c r="M22" i="41" l="1"/>
  <c r="O22" i="41"/>
  <c r="K22" i="41"/>
  <c r="N7" i="41" l="1"/>
  <c r="N22" i="41" s="1"/>
  <c r="L22" i="4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<sst xmlns="http://schemas.openxmlformats.org/spreadsheetml/2006/main" count="1925" uniqueCount="226">
  <si>
    <t>Oversigt med forsyningselskabernes samlede bidrag</t>
  </si>
  <si>
    <t>Excelark 
navn</t>
  </si>
  <si>
    <t>Navn på forsyningsskelskab</t>
  </si>
  <si>
    <t>CVR nr.:</t>
  </si>
  <si>
    <r>
      <rPr>
        <b/>
        <sz val="11"/>
        <color theme="1"/>
        <rFont val="Aptos Narrow"/>
        <family val="2"/>
        <scheme val="minor"/>
      </rPr>
      <t>KB.1</t>
    </r>
    <r>
      <rPr>
        <sz val="11"/>
        <color theme="1"/>
        <rFont val="Aptos Narrow"/>
        <family val="2"/>
        <scheme val="minor"/>
      </rPr>
      <t xml:space="preserve">
Grundbidrag</t>
    </r>
  </si>
  <si>
    <r>
      <rPr>
        <b/>
        <sz val="11"/>
        <color theme="1"/>
        <rFont val="Aptos Narrow"/>
        <family val="2"/>
        <scheme val="minor"/>
      </rPr>
      <t>KB.14 og KB.15</t>
    </r>
    <r>
      <rPr>
        <sz val="11"/>
        <color theme="1"/>
        <rFont val="Aptos Narrow"/>
        <family val="2"/>
        <scheme val="minor"/>
      </rPr>
      <t xml:space="preserve">
Parter oversvømmet område</t>
    </r>
  </si>
  <si>
    <r>
      <rPr>
        <b/>
        <sz val="11"/>
        <color theme="1"/>
        <rFont val="Aptos Narrow"/>
        <family val="2"/>
        <scheme val="minor"/>
      </rPr>
      <t>KB.16</t>
    </r>
    <r>
      <rPr>
        <sz val="11"/>
        <color theme="1"/>
        <rFont val="Aptos Narrow"/>
        <family val="2"/>
        <scheme val="minor"/>
      </rPr>
      <t xml:space="preserve">
Parter øer </t>
    </r>
  </si>
  <si>
    <r>
      <rPr>
        <b/>
        <sz val="11"/>
        <color theme="1"/>
        <rFont val="Aptos Narrow"/>
        <family val="2"/>
        <scheme val="minor"/>
      </rPr>
      <t>KB.17 og KB.18</t>
    </r>
    <r>
      <rPr>
        <sz val="11"/>
        <color theme="1"/>
        <rFont val="Aptos Narrow"/>
        <family val="2"/>
        <scheme val="minor"/>
      </rPr>
      <t xml:space="preserve">
Parter direkte erosion strækning 3</t>
    </r>
  </si>
  <si>
    <r>
      <rPr>
        <b/>
        <sz val="11"/>
        <color theme="1"/>
        <rFont val="Aptos Narrow"/>
        <family val="2"/>
        <scheme val="minor"/>
      </rPr>
      <t>KB.19</t>
    </r>
    <r>
      <rPr>
        <sz val="11"/>
        <color theme="1"/>
        <rFont val="Aptos Narrow"/>
        <family val="2"/>
        <scheme val="minor"/>
      </rPr>
      <t xml:space="preserve">
Indrekte parter / strækning 3</t>
    </r>
  </si>
  <si>
    <t>I alt parter</t>
  </si>
  <si>
    <t>Bidrag pr. år i Kr. ved lån over 25 år 
ved 5 % i rente for anlægsprojektet</t>
  </si>
  <si>
    <t>Årligt vedligeholdelses-bidrag</t>
  </si>
  <si>
    <t>Samlet årlig bidrag ved lån
(lån+vedligehold)</t>
  </si>
  <si>
    <t>Bidrag ved kontant betaling af anlægsprojekt 
(dvs der kun fremadrettet betales det årlige vedligeholdesbidrag)</t>
  </si>
  <si>
    <t>Værdi af ny etableringspris ud fra intervalvurderinger -både direkte (oversvømmet) og indirekte (øer)</t>
  </si>
  <si>
    <t>1,1ø, 1e_str3, 1ie_str3</t>
  </si>
  <si>
    <t>Bogense Forsyningsselskab</t>
  </si>
  <si>
    <t>2,2ø</t>
  </si>
  <si>
    <t>CLEVER A/S</t>
  </si>
  <si>
    <t>3,3ø,  3e_str3, 3ie_str3</t>
  </si>
  <si>
    <t>ENERGI FYN BREDBÅND A/S</t>
  </si>
  <si>
    <t>4,4ø</t>
  </si>
  <si>
    <t>Evida Service A/S</t>
  </si>
  <si>
    <t>EV Infra Denmark ApS</t>
  </si>
  <si>
    <t>6,6ø</t>
  </si>
  <si>
    <t>GLOBALCONNECT A/S</t>
  </si>
  <si>
    <t>Andelsselskabet Guldbjerg- Nr. Sandager Vandværk</t>
  </si>
  <si>
    <t>8,8ø</t>
  </si>
  <si>
    <t>Klimadatastyrelsen</t>
  </si>
  <si>
    <t>ANDELS MEJLSKOV OG OMEGNS VANDVÆRK</t>
  </si>
  <si>
    <t>10,10ø, 10ie_str3</t>
  </si>
  <si>
    <t>Nordfyns Kommune (lygtepæle mm)</t>
  </si>
  <si>
    <t>11,11ø</t>
  </si>
  <si>
    <t>Norlys Digital A/S</t>
  </si>
  <si>
    <t>12,12ø</t>
  </si>
  <si>
    <t>Norlys Fibernet A/S</t>
  </si>
  <si>
    <t>13,13ø, 13e_str3, 13ie_str3</t>
  </si>
  <si>
    <t>TDC NET A/S</t>
  </si>
  <si>
    <t>14,14ø, 14e_str3, 14ie_str3</t>
  </si>
  <si>
    <t>VANDCENTER SYD A/S</t>
  </si>
  <si>
    <t>15,15ø, 15e_str3, 15ie_str3</t>
  </si>
  <si>
    <t>VORES ELNET A/S</t>
  </si>
  <si>
    <t>I alt</t>
  </si>
  <si>
    <t xml:space="preserve"> </t>
  </si>
  <si>
    <t xml:space="preserve">  </t>
  </si>
  <si>
    <t>Beregning og partsberegning for bidragsfordelingen for forsyningsselskaberne</t>
  </si>
  <si>
    <t>Data til ny bidragsfordeling for forsyningsselskaberne</t>
  </si>
  <si>
    <t>I dette bidragsark er dataudtræk fra LER på alle forsyningsanlæg fra alle forsyningsselskaber. 
For de enkelte forsyningsselskaber er der seperate ark for berørte områder. Arkene er opdelt som nedenstående
- Oversvømmelseområde
- Ø område
- Direkte erosionsbeskyttelse strækning 3
- Indirekte erosionsområde strækning 3
Forsyningsselskabernes anlæg i de berørte områder fremgår af dette regneark og bilag 5b</t>
  </si>
  <si>
    <t>Parts udregning</t>
  </si>
  <si>
    <t>Pris pr. part</t>
  </si>
  <si>
    <t xml:space="preserve">Antal parter i projektet </t>
  </si>
  <si>
    <t>part</t>
  </si>
  <si>
    <t>Forventet antal parter fra private, forsyningsselskaber og kommune</t>
  </si>
  <si>
    <t>Forventede udgifter for projektet</t>
  </si>
  <si>
    <t>kr.</t>
  </si>
  <si>
    <t>Forventet samlet udgift for projektet</t>
  </si>
  <si>
    <t>Forventet tilskud til projektet</t>
  </si>
  <si>
    <t>Forventet tilskud til projektet fra statsligepujler</t>
  </si>
  <si>
    <t>Beløb til fordeling</t>
  </si>
  <si>
    <t>Pris pr. part pr. år</t>
  </si>
  <si>
    <t>Samlet pris pr. part ved kontant betaling (25 år)</t>
  </si>
  <si>
    <t>Pris pr. part ved lån</t>
  </si>
  <si>
    <t>Lånebehov</t>
  </si>
  <si>
    <t xml:space="preserve">Samlet årlig ydelse over 25 år ved. lån </t>
  </si>
  <si>
    <t>Annuitetslån på 5% p.a.</t>
  </si>
  <si>
    <t>Samlet yddelse ved lån</t>
  </si>
  <si>
    <t>Samlet pris pr. part ved lån (25 år)</t>
  </si>
  <si>
    <t>Vedligeholdelsesudgifter</t>
  </si>
  <si>
    <t xml:space="preserve">Årlig pris pr. part til vedligehold </t>
  </si>
  <si>
    <t>2 % årligt af etableringsomkostninger</t>
  </si>
  <si>
    <t>Ejendomsværdi og bidragsparter til fordelingen</t>
  </si>
  <si>
    <t>Gns ejendomsværdi (enhedsniveau)</t>
  </si>
  <si>
    <t>Opgjort pr. 21.10.2025</t>
  </si>
  <si>
    <t>Bidragpart berørt pacelhus med kælder</t>
  </si>
  <si>
    <t>Part for indirekte berørt</t>
  </si>
  <si>
    <t>Parter (oversvømmelsesbeskyttelse)</t>
  </si>
  <si>
    <t>Ny etableringspris interval</t>
  </si>
  <si>
    <t>Værdi der indgår i beregning</t>
  </si>
  <si>
    <t>Kan ikke tåle oversvømmelse</t>
  </si>
  <si>
    <t>Kan tåle oversvømmelse</t>
  </si>
  <si>
    <t>0-40.000 kr.</t>
  </si>
  <si>
    <t>40.000-100.000 kr.</t>
  </si>
  <si>
    <t>Erosionsbeskyttelse Strækning 3</t>
  </si>
  <si>
    <t>Ny etableringsværdi for berørte forsyningsselskaber</t>
  </si>
  <si>
    <t>Sum af erosionsark</t>
  </si>
  <si>
    <t>Antal berørte selskaber</t>
  </si>
  <si>
    <t>stk.</t>
  </si>
  <si>
    <t>Parter (Erosionsbeskyttelse)</t>
  </si>
  <si>
    <t>Direkte påvirket</t>
  </si>
  <si>
    <t>Indirekte påvirket</t>
  </si>
  <si>
    <t>Data fra LER-udtræk</t>
  </si>
  <si>
    <t>Vurdering af om forsyningsanlæg kan tåle oversvømmmelse mm</t>
  </si>
  <si>
    <t>Parter</t>
  </si>
  <si>
    <t>Vurdering af ny etableringspris på forsyingsanlæg (intervalvurdering)</t>
  </si>
  <si>
    <t>Navn på forsyningsselskab</t>
  </si>
  <si>
    <t>CVR nummer</t>
  </si>
  <si>
    <t>Lerudtræk over forsyningsanlæg jf. nedenfor er foretaget den 8. juli 2025 på baggrund af polygoner, der er afgrænset i forhold til de nye konstruktioner og ud fra oversvømmelsespolygoner genereret fra en 2D Mike-model ud fra en 500-års hændelse inklusiv klimatillæg og bølgepåvirkning</t>
  </si>
  <si>
    <t>Emne:</t>
  </si>
  <si>
    <t>Installationstype</t>
  </si>
  <si>
    <t>Antal installationer</t>
  </si>
  <si>
    <t>Antal m rør/ kabel (meter)</t>
  </si>
  <si>
    <t>Nordfyns Kommune har skriftligt via e-Boks anmodet om fremsendelse af oplysninger om omfanget af Bogense Forsyningsselskabs anlæg i det potentielle oversvømmelsesområde og har også bedt om en vurdering af, om anlæggene kan tåle påvirkning af saltvand. Bogense forsyning har leveret data. Da hovedparten af forsyningsselskaberne ikke har leveret data, har Nordfyn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</si>
  <si>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Nordfyns Kommune har modtaget oplysninger om nytteværdi fra Bogense Forsyning, men da det er valgt at basere datagrundlaget på LERudtræk har Nordfyns Kommune selvstændig lavet en vurdering af nytteværdien ud LER dataene. Dette for at have et ens vurderingsgrundlag fra forsyningsselskaberne. Nordfyns Kommune har foretaget en vurderingen af nytteværdien ud fra en vurdering af etableringsværdi jf. vurderingen til højre i dette regneark.</t>
  </si>
  <si>
    <t xml:space="preserve"> Part pr. enhed</t>
  </si>
  <si>
    <t>Part pr 20 m rør/kabel/ledning</t>
  </si>
  <si>
    <t>Samlede antal parter</t>
  </si>
  <si>
    <t xml:space="preserve">Vurdering af de enkelte forsyninganlægs intervalpris er lavet af Nordfyns Kommune med indput fra el og energi ingeniører </t>
  </si>
  <si>
    <t>Under 10.000 Kr</t>
  </si>
  <si>
    <t xml:space="preserve"> 10.000&lt; pris &lt; 20.000</t>
  </si>
  <si>
    <t>20.000&lt; pris &lt; 30.000</t>
  </si>
  <si>
    <t>30.000&lt; pris &lt; 40.000</t>
  </si>
  <si>
    <t xml:space="preserve"> Pris over 40.000 kr</t>
  </si>
  <si>
    <t>Typer (komponenter og ledninger)</t>
  </si>
  <si>
    <t>Etableringværdi mere end 40.000 kr</t>
  </si>
  <si>
    <t>Pris over 40.000 kr</t>
  </si>
  <si>
    <t>Pr. 20 m kabel/ledning/rør</t>
  </si>
  <si>
    <t>reduktion</t>
  </si>
  <si>
    <t>x</t>
  </si>
  <si>
    <t>bøjning</t>
  </si>
  <si>
    <t>fastspænding</t>
  </si>
  <si>
    <t>brønd</t>
  </si>
  <si>
    <t>afgrening</t>
  </si>
  <si>
    <t>muffe</t>
  </si>
  <si>
    <t>skab</t>
  </si>
  <si>
    <t>stikledning</t>
  </si>
  <si>
    <t>distributionsledning</t>
  </si>
  <si>
    <t>ventil</t>
  </si>
  <si>
    <t>brøndkonstruktion</t>
  </si>
  <si>
    <t>tapsted</t>
  </si>
  <si>
    <t>LER-type (forsyningstype og komponent/ledning)</t>
  </si>
  <si>
    <t>Vandledning</t>
  </si>
  <si>
    <t>Ny etableringspris ud fra vurdering</t>
  </si>
  <si>
    <t>Data fra LER-udtræk - Ø'er (indirekte berørte områder)</t>
  </si>
  <si>
    <t>bygværk</t>
  </si>
  <si>
    <t>Data fra LER-udtræk - Erosion Strækning 3</t>
  </si>
  <si>
    <t>Vurdering af om forsyningsanlæg kan tåle erosion på strækning 3</t>
  </si>
  <si>
    <t xml:space="preserve">Lerudtræk over forsyningsanlæg jf. nedenfor er foretaget den 8. juli 2025 på baggrund af polygon over direkte påvirket areal af estimeret erosion over 50 år pga. af den historiske erosion på strækning 3 og fremtidig klimapåvirkninger </t>
  </si>
  <si>
    <t>Hvis forsyninganlæg ligger inden for området, der er beregnet til at være påvirket over 50 år af erosion hvis det planlagte kystbeskyttelse ikke bliver etableret, vurderes anlægget at kunne tage skade og derved direkte påvirket. Hvis anlægget ligger i område, der er afhængig af vejadgang som over en 50 år periode vil være påvirket af erosion så vejadgangen hindres, vil anlæg være indirektet påvirket.</t>
  </si>
  <si>
    <t>Etableringsværdi over 40.000 kr. pr. enhed eller 20 m rør/kabel/ledning:
Nordfyns Kommune har med den fremsendte anmodning om anlægsoplysninger også bedt om en vurdering af nytteværdien af anlæg. Nordfyns Kommune har modtaget oplysninger om nytteværdi fra Bogense Forsyning, men da det er valgt at basere datagrundlaget på LERudtræk har Nordfyns Kommune selvstændig lavet en vurdering af nytteværdien ud LER dataene. Dette for at have et ens vurderingsgrundlag fra forsyningsselskaberne. Nordfyns Kommune har foretaget en vurderingen af nytteværdien ud fra en vurdering af etableringsværdi jf. vurderingen til højre i dette regneark.</t>
  </si>
  <si>
    <t>Direkte påvirket af erosion</t>
  </si>
  <si>
    <t>Indirekte påvirket af erosion</t>
  </si>
  <si>
    <t>Data fra LER-udtræk - Indirekt erosion Strækning 3</t>
  </si>
  <si>
    <t>Lerudtræk over forsyningsanlæg jf. nedenfor er foretaget den 8. juli 2025  ud fra polygon over område med indirekte fordel af erosionsbeskyttelse i form af sikring af adgangsvej.</t>
  </si>
  <si>
    <t>Nordfyns Kommune har skriftligt via e-Boks anmodet om fremsendelse af oplysninger om omfanget af Clever A/S's anlæg i det potentielle oversvømmelsesområde og har også bedt om en vurdering af, om anlæggene kan tåle påvirkning af saltvand jf. ovenstående tekst. Clever A/S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</si>
  <si>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Clever A/S, har kommunen selv foretaget en vurdering af nytteværdien ud fra en vurdering af etableringsværdi jf. vurderingen til højre i dette regneark.</t>
  </si>
  <si>
    <t>Ca. pris over 40.000 kr</t>
  </si>
  <si>
    <t>kabelskab</t>
  </si>
  <si>
    <t>lavspændingsmast</t>
  </si>
  <si>
    <t>målerskab</t>
  </si>
  <si>
    <t>station</t>
  </si>
  <si>
    <t>teknikskab</t>
  </si>
  <si>
    <t>Elledning</t>
  </si>
  <si>
    <t>Foeringsroer</t>
  </si>
  <si>
    <t>Nordfyns Kommune har skriftligt via e-Boks anmodet om fremsendelse af oplysninger om omfanget af Energi Fyn Bredbånd A/S's anlæg i det potentielle oversvømmelsesområde og har også bedt om en vurdering af, om anlæggene kan tåle påvirkning af saltvand jf. ovenstående tekst. Energi Fyn Bredbånd A/S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</si>
  <si>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Energi Fyn Bredbånd A/S, har kommunen selv foretaget en vurdering af nytteværdien ud fra en vurdering af etableringsværdi jf. vurderingen til højre i dette regneark.</t>
  </si>
  <si>
    <t>Ledningstrace</t>
  </si>
  <si>
    <t>Hvis forsyninganlæg ligger inden for området, der er beregnet til at være påvirket over 50 år af erosion, hvis det planlagte kystbeskyttelse ikke bliver etableret, vurderes anlægget at kunne tage skade og derved direkte påvirket. Hvis anlægget ligger i område, der er afhængig af vejadgang som over en 50 år periode vil være påvirket af erosion så vejadgangen hindres, vil anlæg være indirektet påvirket.</t>
  </si>
  <si>
    <t>Etableringsværdi over 40.000 kr. pr. enhed eller 20 m rør/kabel/ledning:
Nordfyns Kommune har med den fremsendte anmodning om anlægsoplysninger også bedt om en vurdering af nytteværdien af anlæg. Da Nordfyns Kommune ikke har modtaget oplysninger fra Energi Fyn Bredbånd A/S, har kommunen selv foretaget en vurdering af nytteværdien ud fra en vurdering af etableringsværdi jf. vurderingen til højre i dette regneark.</t>
  </si>
  <si>
    <t>Telekommunikationskomponent</t>
  </si>
  <si>
    <t xml:space="preserve">Lerudtræk over forsyningsanlæg jf. nedenfor er foretaget den 8. juli 2025  ud fra polygon over område med indirekte fordel af erosionsbeskyttelse i form af sikring af adgangsvej.   </t>
  </si>
  <si>
    <t>Nordfyns Kommune har skriftligt via e-Boks anmodet om fremsendelse af oplysninger om omfanget af Evida Service A/S's anlæg i det potentielle oversvømmelsesområde og har også bedt om en vurdering af, om anlæggene kan tåle påvirkning af saltvand jf. ovenstående tekst. Evida Service A/S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</si>
  <si>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Evida Service A/S, har kommunen selv foretaget en vurdering af nytteværdien ud fra en vurdering af etableringsværdi jf. vurderingen til højre i dette regneark.</t>
  </si>
  <si>
    <t>Pr. 10 m kabel/ledning/rør</t>
  </si>
  <si>
    <t>anboring</t>
  </si>
  <si>
    <t>punkt på rør</t>
  </si>
  <si>
    <t>slutmuffe</t>
  </si>
  <si>
    <t>MR-skab</t>
  </si>
  <si>
    <t>tee</t>
  </si>
  <si>
    <t>fordelingsledning</t>
  </si>
  <si>
    <t>Gasledning</t>
  </si>
  <si>
    <t>Nordfyns Kommune har skriftligt via e-Boks anmodet om fremsendelse af oplysninger om omfanget af EV Infra Denmark Aps's anlæg i det potentielle oversvømmelsesområde og har også bedt om en vurdering af, om anlæggene kan tåle påvirkning af saltvand jf. ovenstående tekst.EV Infra Denmark Aps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</si>
  <si>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EV Infra Denmark Aps, har kommunen selv foretaget en vurdering af nytteværdien ud fra en vurdering af etableringsværdi jf. vurderingen til højre i dette regneark.</t>
  </si>
  <si>
    <t>stikkabel</t>
  </si>
  <si>
    <t>Nordfyns Kommune har skriftligt via e-Boks anmodet om fremsendelse af oplysninger om omfanget af Global Connect A/S's anlæg i det potentielle oversvømmelsesområde og har også bedt om en vurdering af, om anlæggene kan tåle påvirkning af saltvand jf. ovenstående tekst. Global Connect A/S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</si>
  <si>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Globalconnect A/S, har kommunen selv foretaget en vurdering af nytteværdien ud fra en vurdering af etableringsværdi jf. vurderingen til højre i dette regneark.</t>
  </si>
  <si>
    <t>Nordfyns Kommune har skriftligt via e-Boks anmodet om fremsendelse af oplysninger om omfanget af Andelsselskabet Guldbjerg- Nr. Sandager Vandværks anlæg i det potentielle oversvømmelsesområde og har også bedt om en vurdering af, om anlæggene kan tåle påvirkning af saltvand. Andelsselskabet Guldbjerg- Nr. Sandager Vandværk har leveret data. Da hovedparten af forsyningsselskaberne ikke har leveret data, har Nordfyn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</si>
  <si>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Andelsselskabet Guldbjerg- Nr. Sandager Vandværk, har kommunen selv foretaget en vurdering af nytteværdien ud fra en vurdering af etableringsværdi jf. vurderingen til højre i dette regneark.</t>
  </si>
  <si>
    <t>Adresse</t>
  </si>
  <si>
    <t>Nordfyns Kommune har skriftligt via e-Boks anmodet om fremsendelse af oplysninger om omfanget af Klimadatastyrelsens anlæg i det potentielle oversvømmelsesområde og har også bedt om en vurdering af, om anlæggene kan tåle påvirkning af saltvand jf. ovenstående tekst. Klimadatastyrelsen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</si>
  <si>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Klimadatastyrelsens, har kommunen selv foretaget en vurdering af nytteværdien ud fra en vurdering af etableringsværdi jf. vurderingen til højre i dette regneark.</t>
  </si>
  <si>
    <t>broend</t>
  </si>
  <si>
    <t>Nordfyns Kommune har skriftligt via e-Boks anmodet om fremsendelse af oplysninger om omfanget af Andels Mejlskov og Omegns Vandværks anlæg i det potentielle oversvømmelsesområde og har også bedt om en vurdering af, om anlæggene kan tåle påvirkning af saltvand jf. ovenstående tekst. Andels Mejlskov og Omegns Vandværk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</si>
  <si>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Andels Mejlskov og Omegns Vandværk , har kommunen selv foretaget en vurdering af nytteværdien ud fra en vurdering af etableringsværdi jf. vurderingen til højre i dette regneark.</t>
  </si>
  <si>
    <t>Nordfyns Kommune</t>
  </si>
  <si>
    <t>Nordfyns Kommune har skriftligt via e-Boks anmodet om fremsendelse af oplysninger om omfanget af Nordfyns Kommunes  anlæg i det potentielle oversvømmelsesområde og har også bedt om en vurdering af, om anlæggene kan tåle påvirkning af saltvand jf. ovenstående tekst. Nordfyns Kommune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</si>
  <si>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Nordfyns Kommune anlægsafdeling, har kommunen selv foretaget en vurdering af nytteværdien ud fra en vurdering af etableringsværdi jf. vurderingen til højre i dette regneark.</t>
  </si>
  <si>
    <t>rist</t>
  </si>
  <si>
    <t>sandfang</t>
  </si>
  <si>
    <t>signal</t>
  </si>
  <si>
    <t>belysningsarmatur</t>
  </si>
  <si>
    <t>Afloebsledning</t>
  </si>
  <si>
    <t>Afloebskomponent</t>
  </si>
  <si>
    <t>Nordfyns Kommune har skriftligt via e-Boks anmodet om fremsendelse af oplysninger om omfanget af Norlys Digital A/S's anlæg i det potentielle oversvømmelsesområde og har også bedt om en vurdering af, om anlæggene kan tåle påvirkning af saltvand jf. ovenstående tekst. Norlys Digital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</si>
  <si>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Norlys Digital A/S, har kommunen selv foretaget en vurdering af nytteværdien ud fra en vurdering af etableringsværdi jf. vurderingen til højre i dette regneark.</t>
  </si>
  <si>
    <t>Nordfyns Kommune har skriftligt via e-Boks anmodet om fremsendelse af oplysninger om omfanget af Norlys Fibernet A/S's anlæg i det potentielle oversvømmelsesområde og har også bedt om en vurdering af, om anlæggene kan tåle påvirkning af saltvand jf. ovenstående tekst. Norlys Fibernet A/S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</si>
  <si>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Nordlys Fibernet A/S, har kommunen selv foretaget en vurdering af nytteværdien ud fra en vurdering af etableringsværdi jf. vurderingen til højre i dette regneark.</t>
  </si>
  <si>
    <t>other: rørstop</t>
  </si>
  <si>
    <t>Nordfyns Kommune har skriftligt via e-Boks anmodet om fremsendelse af oplysninger om omfanget af TDC NET A/S's anlæg i det potentielle oversvømmelsesområde og har også bedt om en vurdering af, om anlæggene kan tåle påvirkning af saltvand jf. ovenstående tekst. TDC Net A/S har ikke leveret data. Da hovedparten af forsyningsselskaberne ikke har leveret data, har Nordfyns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</si>
  <si>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Da Nordfyns Kommune ikke har modtaget oplysninger fra TDC Net A/S, har kommunen selv foretaget en vurdering af nytteværdien ud fra en vurdering af etableringsværdi jf. vurderingen til højre i dette regneark.</t>
  </si>
  <si>
    <t>splidsemuffer i jord</t>
  </si>
  <si>
    <t>Telekommunikationsledning</t>
  </si>
  <si>
    <t>Ialt</t>
  </si>
  <si>
    <t>Generelle oplysninger (kolonne J, K, L)</t>
  </si>
  <si>
    <t>Etableringsværdi over 40.000 kr. pr. enhed eller 20 m rør/kabel/ledning:
Nordfyns Kommune har med den fremsendte anmodning om anlægsoplysninger også bedt om en vurdering af nytteværdien af anlæg. Da Nordfyns Kommune ikke har modtaget oplysninger fra TDC Net A/S, har kommunen selv foretaget en vurdering af nytteværdien ud fra en vurdering af etableringsværdi jf. vurderingen til højre i dette regneark.</t>
  </si>
  <si>
    <t>Nordfyns Kommune har skriftligt via e-Boks anmodet om fremsendelse af oplysninger om omfanget af Bogense Forsyningsselskabs anlæg i det potentielle oversvømmelsesområde og har også bedt om en vurdering af, om anlæggene kan tåle påvirkning af saltvand. Vandcenter Syd A/S har leveret data. Da hovedparten af forsyningsselskaberne ikke har leveret data, har Nordfyn Kommune valgt at bruge LERdata som grundlag for bidragsfordelingen for alle forsyningsselskaberne. Dette for at have et ens vurderingsgrundlag.</t>
  </si>
  <si>
    <t>Etableringsværdi over 40.000 kr. pr. enhed eller 20 m rør/kabel/ledning for anlæg der ikke kan tåle oversvømmelse:
Nordfyns Kommune har med den fremsendte anmodning om anlægsoplysninger også bedt om en vurdering af nytteværdien af anlæg. Nordfyns Kommune har modtaget oplysninger om nytteværdi fra Vandcenter Syd, men da det er valgt at basere datagrundlaget på LERudtræk har Nordfyns Kommune selvstændig lavet en vurdering af nytteværdien ud LER dataene. Dette for at have et ens vurderingsgrundlag fra forsyningsselskaberne. Nordfyns Kommune har foretaget en vurderingen af nytteværdien ud fra en vurdering af etableringsværdi jf. vurderingen til højre i dette regneark.</t>
  </si>
  <si>
    <t>brøndbygværk</t>
  </si>
  <si>
    <t>bassin</t>
  </si>
  <si>
    <t>udløbsbygværk</t>
  </si>
  <si>
    <t>reguleringsbygværk</t>
  </si>
  <si>
    <t>nedsivningsanlæg</t>
  </si>
  <si>
    <t>overløbsbygværk</t>
  </si>
  <si>
    <t>renseanlæg</t>
  </si>
  <si>
    <t>tank</t>
  </si>
  <si>
    <t>udskiller</t>
  </si>
  <si>
    <t>Afloebsledning_gravitation</t>
  </si>
  <si>
    <t>Afloebsledning_tryk</t>
  </si>
  <si>
    <t>Etableringsværdi over 40.000 kr. pr. enhed eller 20 m rør/kabel/ledning:
Nordfyns Kommune har med den fremsendte anmodning om anlægsoplysninger også bedt om en vurdering af nytteværdien af anlæg. Nordfyns Kommune har modtaget oplysninger om nytteværdi fra Vandcenter Syd, men da det er valgt at basere datagrundlaget på LERudtræk har Nordfyns Kommune selvstændig lavet en vurdering af nytteværdien ud LER dataene. Dette for at have et ens vurderingsgrundlag fra forsyningsselskaberne. Nordfyns Kommune har foretaget en vurderingen af nytteværdien ud fra en vurdering af etableringsværdi jf. vurderingen til højre i dette regneark.</t>
  </si>
  <si>
    <t>Nordfyns Kommune har skriftligt via e-Boks anmodet om fremsendelse af oplysninger om omfanget af Vores Elnet A/S's anlæg i det potentielle oversvømmelsesområde og har også bedt om en vurdering af, om anlæggene kan tåle påvirkning af saltvand. Vores Elnet A/S har ikke leveret data. Da hovedparten af forsyningsselskaberne ikke har leveret data, har Nordfyn Kommune valgt at bruge LERdata som grundlag for bidragsfordelingen for alle forsyningsselskaberne. Dette for at have et ens vurderingsgrundlag.</t>
  </si>
  <si>
    <t>Etableringsværdi over 40.000 kr. pr. enhed eller 20 m rør/kabel/ledning der ikke kan tåle oversvømmelse:
Nordfyns Kommune har med den fremsendte anmodning om anlægsoplysninger også bedt om en vurdering af nytteværdien af anlæg. Da Nordfyns Kommune ikke har modtaget oplysninger fra Vores Elnet A/S , har kommunen selv foretaget en vurdering af nytteværdien ud fra en vurdering af etableringsværdi jf. vurderingen til højre i dette regneark.</t>
  </si>
  <si>
    <t>forsyningskabel</t>
  </si>
  <si>
    <t>beskyttelsesleder</t>
  </si>
  <si>
    <t>Etableringsværdi over 40.000 kr. pr. enhed eller 20 m rør/kabel/ledning:
Nordfyns Kommune har med den fremsendte anmodning om anlægsoplysninger også bedt om en vurdering af nytteværdien af anlæg. Da Nordfyns Kommune ikke har modtaget oplysninger fra Vores Elnet A/S , har kommunen selv foretaget en vurdering af nytteværdien ud fra en vurdering af etableringsværdi jf. vurderingen til højre i dette regneark.</t>
  </si>
  <si>
    <t>Elledning_10kV</t>
  </si>
  <si>
    <t xml:space="preserve">       </t>
  </si>
  <si>
    <t>BogenseKystdiger_BidragsfordelingForsyning_2026_Feb_Version3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</si>
</sst>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0\ &quot;kr.&quot;;\-#,##0\ &quot;kr.&quot;"/>
    <numFmt numFmtId="8" formatCode="#,##0.00\ &quot;kr.&quot;;[Red]\-#,##0.00\ &quot;kr.&quot;"/>
    <numFmt numFmtId="43" formatCode="_-* #,##0.00_-;\-* #,##0.00_-;_-* &quot;-&quot;??_-;_-@_-"/>
    <numFmt numFmtId="164" formatCode="[$-406]d\.\ mmmm\ yyyy;@"/>
    <numFmt numFmtId="165" formatCode="_-* #,##0_-;\-* #,##0_-;_-* &quot;-&quot;??_-;_-@_-"/>
    <numFmt numFmtId="166" formatCode="_-* #,##0.0_-;\-* #,##0.0_-;_-* &quot;-&quot;??_-;_-@_-"/>
    <numFmt numFmtId="167" formatCode="0.0000"/>
    <numFmt numFmtId="168" formatCode="0.000"/>
    <numFmt numFmtId="169" formatCode="_-* #,##0.0\ _k_r_._-;\-* #,##0.0\ _k_r_._-;_-* &quot;-&quot;?\ _k_r_._-;_-@_-"/>
    <numFmt numFmtId="170" formatCode="0.0"/>
    <numFmt numFmtId="171" formatCode="_-* #,##0.0000_-;\-* #,##0.0000_-;_-* &quot;-&quot;??_-;_-@_-"/>
    <numFmt numFmtId="172" formatCode="#,##0.000_ ;\-#,##0.000\ "/>
    <numFmt numFmtId="173" formatCode="#,##0.000"/>
    <numFmt numFmtId="174" formatCode="#,##0.0_ ;\-#,##0.0\ "/>
    <numFmt numFmtId="175" formatCode="#,##0\ &quot;kr.&quot;"/>
    <numFmt numFmtId="176" formatCode="_-* #,##0\ _k_r_._-;\-* #,##0\ _k_r_._-;_-* &quot;-&quot;?\ _k_r_._-;_-@_-"/>
  </numFmts>
  <fonts count="19" x14ac:knownFonts="1">
    <font>
      <sz val="11"/>
      <color theme="1"/>
      <name val="Aptos Narrow"/>
      <family val="2"/>
      <scheme val="minor"/>
    </font>
    <font>
      <b/>
      <sz val="11"/>
      <color theme="1"/>
      <name val="Aptos Narrow"/>
      <family val="2"/>
      <scheme val="minor"/>
    </font>
    <font>
      <b/>
      <sz val="16"/>
      <color theme="1"/>
      <name val="Aptos Narrow"/>
      <family val="2"/>
      <scheme val="minor"/>
    </font>
    <font>
      <sz val="16"/>
      <color theme="1"/>
      <name val="Aptos Narrow"/>
      <family val="2"/>
      <scheme val="minor"/>
    </font>
    <font>
      <u/>
      <sz val="11"/>
      <color theme="10"/>
      <name val="Aptos Narrow"/>
      <family val="2"/>
      <scheme val="minor"/>
    </font>
    <font>
      <sz val="8"/>
      <name val="Aptos Narrow"/>
      <family val="2"/>
      <scheme val="minor"/>
    </font>
    <font>
      <sz val="11"/>
      <color theme="1"/>
      <name val="Aptos Narrow"/>
      <family val="2"/>
      <scheme val="minor"/>
    </font>
    <font>
      <sz val="18"/>
      <color theme="1"/>
      <name val="Aptos Narrow"/>
      <family val="2"/>
      <scheme val="minor"/>
    </font>
    <font>
      <b/>
      <sz val="12"/>
      <color theme="1"/>
      <name val="Aptos Narrow"/>
      <family val="2"/>
      <scheme val="minor"/>
    </font>
    <font>
      <b/>
      <sz val="16"/>
      <name val="Aptos Narrow"/>
      <family val="2"/>
      <scheme val="minor"/>
    </font>
    <font>
      <sz val="16"/>
      <name val="Aptos Narrow"/>
      <family val="2"/>
      <scheme val="minor"/>
    </font>
    <font>
      <sz val="11"/>
      <name val="Aptos Narrow"/>
      <family val="2"/>
      <scheme val="minor"/>
    </font>
    <font>
      <strike/>
      <sz val="11"/>
      <name val="Aptos Narrow"/>
      <family val="2"/>
      <scheme val="minor"/>
    </font>
    <font>
      <sz val="11"/>
      <color rgb="FF000000"/>
      <name val="Aptos Narrow"/>
      <family val="2"/>
      <scheme val="minor"/>
    </font>
    <font>
      <b/>
      <sz val="14"/>
      <name val="Aptos Narrow"/>
      <family val="2"/>
      <scheme val="minor"/>
    </font>
    <font>
      <b/>
      <sz val="18"/>
      <color theme="1"/>
      <name val="Aptos Narrow"/>
      <family val="2"/>
      <scheme val="minor"/>
    </font>
    <font>
      <sz val="11"/>
      <color rgb="FF0070C0"/>
      <name val="Aptos Narrow"/>
      <family val="2"/>
      <scheme val="minor"/>
    </font>
    <font>
      <b/>
      <sz val="11"/>
      <color rgb="FF0070C0"/>
      <name val="Aptos Narrow"/>
      <family val="2"/>
      <scheme val="minor"/>
    </font>
    <font>
      <b/>
      <sz val="11"/>
      <color rgb="FFFF0000"/>
      <name val="Aptos Narrow"/>
      <family val="2"/>
      <scheme val="minor"/>
    </font>
  </fonts>
  <fills count="14">
    <fill>
      <patternFill patternType="none"/>
    </fill>
    <fill>
      <patternFill patternType="gray125"/>
    </fill>
    <fill>
      <patternFill patternType="solid">
        <fgColor theme="1"/>
        <bgColor indexed="64"/>
      </patternFill>
    </fill>
    <fill>
      <patternFill patternType="solid">
        <fgColor theme="4" tint="0.79995117038483843"/>
        <bgColor indexed="64"/>
      </patternFill>
    </fill>
    <fill>
      <patternFill patternType="solid">
        <fgColor theme="0"/>
        <bgColor indexed="64"/>
      </patternFill>
    </fill>
    <fill>
      <patternFill patternType="solid">
        <fgColor theme="5" tint="0.79995117038483843"/>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3"/>
        <bgColor indexed="64"/>
      </patternFill>
    </fill>
    <fill>
      <patternFill patternType="solid">
        <fgColor theme="4" tint="0.59999389629810485"/>
        <bgColor indexed="64"/>
      </patternFill>
    </fill>
    <fill>
      <patternFill patternType="solid">
        <fgColor theme="3" tint="0.499984740745262"/>
        <bgColor indexed="64"/>
      </patternFill>
    </fill>
    <fill>
      <patternFill patternType="solid">
        <fgColor rgb="FFC0E6F5"/>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s>
  <cellStyleXfs count="6">
    <xf numFmtId="0" fontId="0" fillId="0" borderId="0"/>
    <xf numFmtId="0" fontId="4"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cellStyleXfs>
  <cellXfs count="319">
    <xf numFmtId="0" fontId="0" fillId="0" borderId="0" xfId="0"/>
    <xf numFmtId="0" fontId="0" fillId="0" borderId="1" xfId="0" applyBorder="1" applyAlignment="1">
      <alignment vertical="center"/>
    </xf>
    <xf numFmtId="0" fontId="0" fillId="0" borderId="0" xfId="0" applyAlignment="1">
      <alignment vertical="center"/>
    </xf>
    <xf numFmtId="0" fontId="0" fillId="2" borderId="1" xfId="0" applyFill="1" applyBorder="1" applyAlignment="1">
      <alignment vertical="center"/>
    </xf>
    <xf numFmtId="0" fontId="0" fillId="3" borderId="1" xfId="0" applyFill="1" applyBorder="1" applyAlignment="1">
      <alignment vertical="center" wrapText="1"/>
    </xf>
    <xf numFmtId="0" fontId="1" fillId="3" borderId="1" xfId="0" applyFont="1" applyFill="1" applyBorder="1" applyAlignment="1">
      <alignment vertical="center"/>
    </xf>
    <xf numFmtId="0" fontId="0" fillId="3" borderId="1" xfId="0" applyFill="1" applyBorder="1"/>
    <xf numFmtId="0" fontId="0" fillId="0" borderId="1" xfId="0" applyBorder="1" applyAlignment="1">
      <alignment horizontal="left" vertical="center" wrapText="1"/>
    </xf>
    <xf numFmtId="0" fontId="3" fillId="0" borderId="0" xfId="0" applyFont="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3" fillId="0" borderId="8" xfId="0" applyFont="1" applyBorder="1"/>
    <xf numFmtId="0" fontId="0" fillId="0" borderId="8" xfId="0" applyBorder="1" applyAlignment="1">
      <alignment vertical="center"/>
    </xf>
    <xf numFmtId="0" fontId="0" fillId="0" borderId="9" xfId="0" applyBorder="1" applyAlignment="1">
      <alignment vertical="center"/>
    </xf>
    <xf numFmtId="0" fontId="0" fillId="0" borderId="10" xfId="0" applyBorder="1"/>
    <xf numFmtId="0" fontId="0" fillId="0" borderId="11" xfId="0" applyBorder="1"/>
    <xf numFmtId="0" fontId="0" fillId="0" borderId="12" xfId="0" applyBorder="1"/>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11" xfId="0" applyBorder="1" applyAlignment="1">
      <alignment horizontal="center"/>
    </xf>
    <xf numFmtId="0" fontId="0" fillId="0" borderId="0" xfId="0" applyAlignment="1">
      <alignment horizontal="center"/>
    </xf>
    <xf numFmtId="0" fontId="4" fillId="0" borderId="1" xfId="1" applyBorder="1" applyAlignment="1">
      <alignment horizontal="left" vertical="center" wrapText="1"/>
    </xf>
    <xf numFmtId="0" fontId="0" fillId="5" borderId="1" xfId="0" applyFill="1" applyBorder="1" applyAlignment="1">
      <alignment horizontal="left" vertical="center" wrapText="1"/>
    </xf>
    <xf numFmtId="0" fontId="0" fillId="5" borderId="1" xfId="0" applyFill="1" applyBorder="1" applyAlignment="1">
      <alignment vertical="center" wrapText="1"/>
    </xf>
    <xf numFmtId="166" fontId="0" fillId="5" borderId="1" xfId="2" applyNumberFormat="1" applyFont="1" applyFill="1" applyBorder="1" applyAlignment="1">
      <alignment horizontal="center" vertical="center"/>
    </xf>
    <xf numFmtId="168" fontId="0" fillId="0" borderId="0" xfId="0" applyNumberFormat="1"/>
    <xf numFmtId="169" fontId="0" fillId="0" borderId="1" xfId="0" applyNumberFormat="1" applyBorder="1" applyAlignment="1">
      <alignment horizontal="center" vertical="center"/>
    </xf>
    <xf numFmtId="0" fontId="0" fillId="0" borderId="1" xfId="0" applyBorder="1"/>
    <xf numFmtId="0" fontId="0" fillId="4" borderId="1" xfId="0" applyFill="1" applyBorder="1" applyAlignment="1">
      <alignment horizontal="left" vertical="center" wrapText="1"/>
    </xf>
    <xf numFmtId="0" fontId="0" fillId="8" borderId="1" xfId="0" applyFill="1" applyBorder="1" applyAlignment="1">
      <alignment horizontal="center"/>
    </xf>
    <xf numFmtId="0" fontId="0" fillId="2" borderId="1" xfId="0" applyFill="1" applyBorder="1"/>
    <xf numFmtId="168" fontId="0" fillId="0" borderId="1" xfId="0" applyNumberFormat="1" applyBorder="1" applyAlignment="1">
      <alignment horizontal="center" vertical="center"/>
    </xf>
    <xf numFmtId="0" fontId="0" fillId="2" borderId="15" xfId="0" applyFill="1" applyBorder="1" applyAlignment="1">
      <alignment vertical="center"/>
    </xf>
    <xf numFmtId="168" fontId="0" fillId="0" borderId="1" xfId="0" applyNumberFormat="1" applyBorder="1"/>
    <xf numFmtId="0" fontId="0" fillId="0" borderId="1" xfId="0" applyBorder="1" applyAlignment="1">
      <alignment horizontal="center"/>
    </xf>
    <xf numFmtId="167" fontId="0" fillId="0" borderId="1" xfId="0" applyNumberFormat="1" applyBorder="1"/>
    <xf numFmtId="169" fontId="0" fillId="0" borderId="1" xfId="0" applyNumberFormat="1" applyBorder="1"/>
    <xf numFmtId="0" fontId="1" fillId="2" borderId="1" xfId="0" applyFont="1" applyFill="1" applyBorder="1" applyAlignment="1">
      <alignment vertical="center"/>
    </xf>
    <xf numFmtId="167" fontId="0" fillId="0" borderId="1" xfId="0" applyNumberFormat="1" applyBorder="1" applyAlignment="1">
      <alignment horizontal="center"/>
    </xf>
    <xf numFmtId="171" fontId="0" fillId="0" borderId="1" xfId="2" applyNumberFormat="1" applyFont="1" applyBorder="1"/>
    <xf numFmtId="0" fontId="0" fillId="10" borderId="1" xfId="0" applyFill="1" applyBorder="1"/>
    <xf numFmtId="0" fontId="0" fillId="2" borderId="2" xfId="0" applyFill="1" applyBorder="1" applyAlignment="1">
      <alignment vertical="center"/>
    </xf>
    <xf numFmtId="0" fontId="0" fillId="3" borderId="15" xfId="0" applyFill="1" applyBorder="1" applyAlignment="1">
      <alignment vertical="center" wrapText="1"/>
    </xf>
    <xf numFmtId="0" fontId="0" fillId="2" borderId="1" xfId="0" applyFill="1" applyBorder="1" applyAlignment="1">
      <alignment horizontal="center"/>
    </xf>
    <xf numFmtId="171" fontId="0" fillId="2" borderId="1" xfId="2" applyNumberFormat="1" applyFont="1" applyFill="1" applyBorder="1"/>
    <xf numFmtId="0" fontId="0" fillId="2" borderId="3" xfId="0" applyFill="1" applyBorder="1" applyAlignment="1">
      <alignment vertical="center"/>
    </xf>
    <xf numFmtId="0" fontId="0" fillId="0" borderId="18" xfId="0" applyBorder="1"/>
    <xf numFmtId="0" fontId="0" fillId="2" borderId="17" xfId="0" applyFill="1" applyBorder="1" applyAlignment="1">
      <alignment vertical="center"/>
    </xf>
    <xf numFmtId="0" fontId="0" fillId="0" borderId="18" xfId="0" applyBorder="1" applyAlignment="1">
      <alignment horizontal="center"/>
    </xf>
    <xf numFmtId="168" fontId="0" fillId="0" borderId="1" xfId="0" applyNumberFormat="1" applyBorder="1" applyAlignment="1">
      <alignment horizontal="center"/>
    </xf>
    <xf numFmtId="168" fontId="0" fillId="2" borderId="1" xfId="0" applyNumberFormat="1" applyFill="1" applyBorder="1" applyAlignment="1">
      <alignment horizontal="center"/>
    </xf>
    <xf numFmtId="168" fontId="0" fillId="0" borderId="0" xfId="0" applyNumberFormat="1" applyAlignment="1">
      <alignment horizontal="center"/>
    </xf>
    <xf numFmtId="168" fontId="0" fillId="0" borderId="1" xfId="2" applyNumberFormat="1" applyFont="1" applyBorder="1" applyAlignment="1">
      <alignment horizontal="center"/>
    </xf>
    <xf numFmtId="168" fontId="0" fillId="2" borderId="1" xfId="2" applyNumberFormat="1" applyFont="1" applyFill="1" applyBorder="1" applyAlignment="1">
      <alignment horizontal="center"/>
    </xf>
    <xf numFmtId="172" fontId="0" fillId="0" borderId="1" xfId="2" applyNumberFormat="1" applyFont="1" applyBorder="1" applyAlignment="1">
      <alignment horizontal="center"/>
    </xf>
    <xf numFmtId="172" fontId="0" fillId="2" borderId="1" xfId="2" applyNumberFormat="1" applyFont="1" applyFill="1" applyBorder="1" applyAlignment="1">
      <alignment horizontal="center"/>
    </xf>
    <xf numFmtId="168" fontId="0" fillId="10" borderId="1" xfId="0" applyNumberFormat="1" applyFill="1" applyBorder="1" applyAlignment="1">
      <alignment horizontal="center"/>
    </xf>
    <xf numFmtId="168" fontId="0" fillId="2" borderId="1" xfId="0" applyNumberFormat="1" applyFill="1" applyBorder="1" applyAlignment="1">
      <alignment horizontal="center" vertical="center"/>
    </xf>
    <xf numFmtId="0" fontId="0" fillId="0" borderId="1" xfId="0" applyBorder="1" applyAlignment="1">
      <alignment horizontal="left"/>
    </xf>
    <xf numFmtId="0" fontId="0" fillId="10" borderId="1" xfId="0" applyFill="1" applyBorder="1" applyAlignment="1">
      <alignment horizontal="center"/>
    </xf>
    <xf numFmtId="0" fontId="0" fillId="4" borderId="0" xfId="0" applyFill="1" applyAlignment="1">
      <alignment vertical="center"/>
    </xf>
    <xf numFmtId="0" fontId="0" fillId="4" borderId="0" xfId="0" applyFill="1" applyAlignment="1">
      <alignment horizontal="center" vertical="center"/>
    </xf>
    <xf numFmtId="0" fontId="0" fillId="0" borderId="0" xfId="0" applyAlignment="1">
      <alignment horizontal="center" vertical="center"/>
    </xf>
    <xf numFmtId="0" fontId="1" fillId="4" borderId="0" xfId="0" applyFont="1" applyFill="1" applyAlignment="1">
      <alignment vertical="center"/>
    </xf>
    <xf numFmtId="0" fontId="0" fillId="4" borderId="0" xfId="0" applyFill="1" applyAlignment="1">
      <alignment vertical="center" wrapText="1"/>
    </xf>
    <xf numFmtId="168" fontId="0" fillId="6" borderId="19" xfId="0" applyNumberFormat="1" applyFill="1" applyBorder="1" applyAlignment="1">
      <alignment horizontal="center" vertical="center"/>
    </xf>
    <xf numFmtId="172" fontId="0" fillId="6" borderId="19" xfId="2" applyNumberFormat="1" applyFont="1" applyFill="1" applyBorder="1" applyAlignment="1">
      <alignment horizontal="center" vertical="center"/>
    </xf>
    <xf numFmtId="0" fontId="0" fillId="6" borderId="19" xfId="0" applyFill="1" applyBorder="1" applyAlignment="1">
      <alignment horizontal="center"/>
    </xf>
    <xf numFmtId="168" fontId="0" fillId="6" borderId="19" xfId="0" applyNumberFormat="1" applyFill="1" applyBorder="1" applyAlignment="1">
      <alignment horizontal="center"/>
    </xf>
    <xf numFmtId="0" fontId="0" fillId="4" borderId="0" xfId="0" applyFill="1"/>
    <xf numFmtId="173" fontId="0" fillId="6" borderId="19" xfId="0" applyNumberFormat="1" applyFill="1" applyBorder="1" applyAlignment="1">
      <alignment horizontal="center"/>
    </xf>
    <xf numFmtId="168" fontId="0" fillId="0" borderId="0" xfId="0" applyNumberFormat="1" applyAlignment="1">
      <alignment horizontal="center" vertical="center"/>
    </xf>
    <xf numFmtId="168" fontId="0" fillId="4" borderId="0" xfId="0" applyNumberFormat="1" applyFill="1" applyAlignment="1">
      <alignment horizontal="center" vertical="center"/>
    </xf>
    <xf numFmtId="0" fontId="0" fillId="0" borderId="3" xfId="0" applyBorder="1"/>
    <xf numFmtId="0" fontId="0" fillId="5" borderId="1" xfId="0" applyFill="1" applyBorder="1" applyAlignment="1">
      <alignment horizontal="center" vertical="center" wrapText="1"/>
    </xf>
    <xf numFmtId="2" fontId="0" fillId="5" borderId="1" xfId="2" applyNumberFormat="1" applyFont="1" applyFill="1" applyBorder="1" applyAlignment="1">
      <alignment horizontal="center" vertical="center"/>
    </xf>
    <xf numFmtId="4" fontId="0" fillId="5" borderId="1" xfId="2" applyNumberFormat="1" applyFont="1" applyFill="1" applyBorder="1" applyAlignment="1">
      <alignment horizontal="center" vertical="center"/>
    </xf>
    <xf numFmtId="4" fontId="0" fillId="2" borderId="1" xfId="0" applyNumberFormat="1" applyFill="1" applyBorder="1" applyAlignment="1">
      <alignment horizontal="center" vertical="center"/>
    </xf>
    <xf numFmtId="0" fontId="0" fillId="9" borderId="1" xfId="0" applyFill="1" applyBorder="1" applyAlignment="1">
      <alignment horizontal="left" vertical="center" wrapText="1"/>
    </xf>
    <xf numFmtId="0" fontId="0" fillId="2" borderId="1" xfId="0" applyFill="1" applyBorder="1" applyAlignment="1">
      <alignment horizontal="left" vertical="center"/>
    </xf>
    <xf numFmtId="3" fontId="0" fillId="2" borderId="1" xfId="0" applyNumberFormat="1" applyFill="1" applyBorder="1" applyAlignment="1">
      <alignment horizontal="center" vertical="center"/>
    </xf>
    <xf numFmtId="174" fontId="0" fillId="5" borderId="1" xfId="2" applyNumberFormat="1" applyFont="1" applyFill="1" applyBorder="1" applyAlignment="1">
      <alignment horizontal="center" vertical="center"/>
    </xf>
    <xf numFmtId="2" fontId="0" fillId="2" borderId="1" xfId="0" applyNumberFormat="1" applyFill="1" applyBorder="1" applyAlignment="1">
      <alignment horizontal="center" vertical="center"/>
    </xf>
    <xf numFmtId="170" fontId="0" fillId="5" borderId="1" xfId="2" applyNumberFormat="1" applyFont="1" applyFill="1" applyBorder="1" applyAlignment="1">
      <alignment horizontal="center" vertical="center"/>
    </xf>
    <xf numFmtId="170" fontId="0" fillId="2" borderId="1" xfId="0" applyNumberFormat="1" applyFill="1" applyBorder="1" applyAlignment="1">
      <alignment horizontal="center" vertical="center"/>
    </xf>
    <xf numFmtId="1" fontId="0" fillId="5" borderId="1" xfId="0" applyNumberFormat="1" applyFill="1" applyBorder="1" applyAlignment="1">
      <alignment horizontal="center" vertical="center" wrapText="1"/>
    </xf>
    <xf numFmtId="1" fontId="0" fillId="2" borderId="1" xfId="0" applyNumberFormat="1" applyFill="1" applyBorder="1" applyAlignment="1">
      <alignment horizontal="center" vertical="center"/>
    </xf>
    <xf numFmtId="0" fontId="0" fillId="4" borderId="8" xfId="0" applyFill="1" applyBorder="1"/>
    <xf numFmtId="0" fontId="0" fillId="4" borderId="10" xfId="0" applyFill="1" applyBorder="1"/>
    <xf numFmtId="170" fontId="0" fillId="5" borderId="1" xfId="3" applyNumberFormat="1" applyFont="1" applyFill="1" applyBorder="1" applyAlignment="1">
      <alignment horizontal="center" vertical="center"/>
    </xf>
    <xf numFmtId="168" fontId="0" fillId="6" borderId="19" xfId="2" applyNumberFormat="1" applyFont="1" applyFill="1" applyBorder="1" applyAlignment="1">
      <alignment horizontal="center"/>
    </xf>
    <xf numFmtId="165" fontId="0" fillId="0" borderId="0" xfId="2" applyNumberFormat="1" applyFont="1" applyBorder="1"/>
    <xf numFmtId="168" fontId="0" fillId="6" borderId="0" xfId="0" applyNumberFormat="1" applyFill="1" applyAlignment="1">
      <alignment horizontal="center"/>
    </xf>
    <xf numFmtId="165" fontId="0" fillId="0" borderId="0" xfId="2" applyNumberFormat="1" applyFont="1" applyBorder="1" applyAlignment="1">
      <alignment horizontal="center"/>
    </xf>
    <xf numFmtId="170" fontId="0" fillId="5" borderId="1" xfId="0" applyNumberFormat="1" applyFill="1" applyBorder="1" applyAlignment="1">
      <alignment horizontal="center" vertical="center" wrapText="1"/>
    </xf>
    <xf numFmtId="168" fontId="0" fillId="6" borderId="19" xfId="0" applyNumberFormat="1" applyFill="1" applyBorder="1"/>
    <xf numFmtId="0" fontId="0" fillId="0" borderId="2" xfId="0" applyBorder="1"/>
    <xf numFmtId="2" fontId="0" fillId="5" borderId="1" xfId="0" applyNumberFormat="1" applyFill="1" applyBorder="1" applyAlignment="1">
      <alignment horizontal="center" vertical="center" wrapText="1"/>
    </xf>
    <xf numFmtId="3" fontId="0" fillId="5" borderId="1" xfId="0" applyNumberFormat="1" applyFill="1" applyBorder="1" applyAlignment="1">
      <alignment horizontal="center" vertical="center" wrapText="1"/>
    </xf>
    <xf numFmtId="0" fontId="0" fillId="0" borderId="17" xfId="0" applyBorder="1"/>
    <xf numFmtId="172" fontId="0" fillId="6" borderId="19" xfId="2" applyNumberFormat="1" applyFont="1" applyFill="1" applyBorder="1" applyAlignment="1">
      <alignment horizontal="center"/>
    </xf>
    <xf numFmtId="165" fontId="0" fillId="0" borderId="9" xfId="2" applyNumberFormat="1" applyFont="1" applyBorder="1"/>
    <xf numFmtId="2" fontId="0" fillId="6" borderId="19" xfId="0" applyNumberFormat="1" applyFill="1" applyBorder="1" applyAlignment="1">
      <alignment horizontal="center"/>
    </xf>
    <xf numFmtId="167" fontId="0" fillId="6" borderId="19" xfId="0" applyNumberFormat="1" applyFill="1" applyBorder="1" applyAlignment="1">
      <alignment horizontal="center"/>
    </xf>
    <xf numFmtId="43" fontId="0" fillId="0" borderId="0" xfId="2" applyFont="1" applyBorder="1" applyAlignment="1">
      <alignment horizontal="center"/>
    </xf>
    <xf numFmtId="168" fontId="0" fillId="0" borderId="0" xfId="2" applyNumberFormat="1" applyFont="1" applyBorder="1" applyAlignment="1">
      <alignment horizontal="center"/>
    </xf>
    <xf numFmtId="43" fontId="0" fillId="0" borderId="0" xfId="2" applyFont="1" applyBorder="1"/>
    <xf numFmtId="171" fontId="0" fillId="0" borderId="0" xfId="2" applyNumberFormat="1" applyFont="1" applyBorder="1"/>
    <xf numFmtId="172" fontId="0" fillId="0" borderId="0" xfId="2" applyNumberFormat="1" applyFont="1" applyBorder="1" applyAlignment="1">
      <alignment horizontal="center"/>
    </xf>
    <xf numFmtId="166" fontId="0" fillId="5" borderId="1" xfId="4" applyNumberFormat="1" applyFont="1" applyFill="1" applyBorder="1" applyAlignment="1">
      <alignment horizontal="center" vertical="center"/>
    </xf>
    <xf numFmtId="1" fontId="0" fillId="5" borderId="13" xfId="0" applyNumberFormat="1" applyFill="1" applyBorder="1" applyAlignment="1">
      <alignment horizontal="center" vertical="center" wrapText="1"/>
    </xf>
    <xf numFmtId="174" fontId="0" fillId="5" borderId="1" xfId="4" applyNumberFormat="1" applyFont="1" applyFill="1" applyBorder="1" applyAlignment="1">
      <alignment horizontal="center" vertical="center"/>
    </xf>
    <xf numFmtId="170" fontId="0" fillId="5" borderId="1" xfId="4" applyNumberFormat="1" applyFont="1" applyFill="1" applyBorder="1" applyAlignment="1">
      <alignment horizontal="center" vertical="center"/>
    </xf>
    <xf numFmtId="168" fontId="0" fillId="6" borderId="0" xfId="0" applyNumberFormat="1" applyFill="1"/>
    <xf numFmtId="0" fontId="0" fillId="6" borderId="0" xfId="0" applyFill="1" applyAlignment="1">
      <alignment horizontal="center"/>
    </xf>
    <xf numFmtId="43" fontId="0" fillId="6" borderId="0" xfId="2" applyFont="1" applyFill="1" applyBorder="1" applyAlignment="1">
      <alignment horizontal="center"/>
    </xf>
    <xf numFmtId="171" fontId="0" fillId="6" borderId="0" xfId="2" applyNumberFormat="1" applyFont="1" applyFill="1" applyBorder="1" applyAlignment="1">
      <alignment horizontal="center"/>
    </xf>
    <xf numFmtId="168" fontId="0" fillId="6" borderId="0" xfId="0" applyNumberFormat="1" applyFill="1" applyAlignment="1">
      <alignment horizontal="center" vertical="center"/>
    </xf>
    <xf numFmtId="0" fontId="7" fillId="0" borderId="0" xfId="0" applyFont="1" applyAlignment="1">
      <alignment vertical="center"/>
    </xf>
    <xf numFmtId="0" fontId="1" fillId="0" borderId="0" xfId="0" applyFont="1"/>
    <xf numFmtId="175" fontId="0" fillId="0" borderId="1" xfId="2" applyNumberFormat="1" applyFont="1" applyBorder="1" applyAlignment="1">
      <alignment horizontal="right"/>
    </xf>
    <xf numFmtId="175" fontId="0" fillId="0" borderId="15" xfId="2" applyNumberFormat="1" applyFont="1" applyBorder="1" applyAlignment="1">
      <alignment horizontal="right"/>
    </xf>
    <xf numFmtId="175" fontId="1" fillId="0" borderId="21" xfId="2" applyNumberFormat="1" applyFont="1" applyBorder="1" applyAlignment="1">
      <alignment horizontal="right"/>
    </xf>
    <xf numFmtId="0" fontId="0" fillId="0" borderId="4" xfId="0" applyBorder="1"/>
    <xf numFmtId="0" fontId="0" fillId="0" borderId="15" xfId="0" applyBorder="1" applyAlignment="1">
      <alignment horizontal="left"/>
    </xf>
    <xf numFmtId="0" fontId="2" fillId="0" borderId="0" xfId="0" applyFont="1"/>
    <xf numFmtId="0" fontId="7" fillId="0" borderId="8" xfId="0" applyFont="1" applyBorder="1" applyAlignment="1">
      <alignment vertical="center"/>
    </xf>
    <xf numFmtId="0" fontId="7" fillId="0" borderId="9" xfId="0" applyFont="1" applyBorder="1" applyAlignment="1">
      <alignment vertical="center"/>
    </xf>
    <xf numFmtId="0" fontId="1" fillId="0" borderId="8" xfId="0" applyFont="1" applyBorder="1"/>
    <xf numFmtId="0" fontId="1" fillId="0" borderId="9" xfId="0" applyFont="1" applyBorder="1"/>
    <xf numFmtId="0" fontId="2" fillId="0" borderId="9" xfId="0" applyFont="1" applyBorder="1"/>
    <xf numFmtId="175" fontId="0" fillId="0" borderId="9" xfId="0" applyNumberFormat="1" applyBorder="1"/>
    <xf numFmtId="1" fontId="0" fillId="0" borderId="9" xfId="0" applyNumberFormat="1" applyBorder="1"/>
    <xf numFmtId="0" fontId="0" fillId="9" borderId="15" xfId="0" applyFill="1" applyBorder="1" applyAlignment="1">
      <alignment horizontal="left" vertical="center" wrapText="1"/>
    </xf>
    <xf numFmtId="0" fontId="0" fillId="0" borderId="16" xfId="0" applyBorder="1"/>
    <xf numFmtId="0" fontId="0" fillId="0" borderId="23" xfId="0" applyBorder="1"/>
    <xf numFmtId="0" fontId="0" fillId="0" borderId="22" xfId="0" applyBorder="1"/>
    <xf numFmtId="0" fontId="0" fillId="0" borderId="20" xfId="0" applyBorder="1"/>
    <xf numFmtId="0" fontId="0" fillId="3" borderId="2" xfId="0" applyFill="1" applyBorder="1"/>
    <xf numFmtId="0" fontId="4" fillId="0" borderId="2" xfId="1" applyBorder="1" applyAlignment="1">
      <alignment horizontal="left" vertical="center" wrapText="1"/>
    </xf>
    <xf numFmtId="0" fontId="11" fillId="11" borderId="3" xfId="0" applyFont="1" applyFill="1" applyBorder="1" applyAlignment="1">
      <alignment vertical="top" wrapText="1"/>
    </xf>
    <xf numFmtId="0" fontId="0" fillId="3" borderId="1" xfId="0" applyFill="1" applyBorder="1" applyAlignment="1">
      <alignment horizontal="left" vertical="center" wrapText="1"/>
    </xf>
    <xf numFmtId="0" fontId="0" fillId="6" borderId="1" xfId="0" applyFill="1" applyBorder="1" applyAlignment="1">
      <alignment horizontal="left" vertical="center" wrapText="1"/>
    </xf>
    <xf numFmtId="0" fontId="9" fillId="12" borderId="4" xfId="0" applyFont="1" applyFill="1" applyBorder="1" applyAlignment="1">
      <alignment horizontal="left"/>
    </xf>
    <xf numFmtId="0" fontId="10" fillId="12" borderId="4" xfId="0" applyFont="1" applyFill="1" applyBorder="1"/>
    <xf numFmtId="0" fontId="10" fillId="12" borderId="3" xfId="0" applyFont="1" applyFill="1" applyBorder="1"/>
    <xf numFmtId="0" fontId="13" fillId="13" borderId="0" xfId="0" applyFont="1" applyFill="1" applyAlignment="1">
      <alignment horizontal="center"/>
    </xf>
    <xf numFmtId="168" fontId="13" fillId="13" borderId="19" xfId="0" applyNumberFormat="1" applyFont="1" applyFill="1" applyBorder="1" applyAlignment="1">
      <alignment horizontal="center"/>
    </xf>
    <xf numFmtId="0" fontId="11" fillId="11" borderId="1" xfId="0" applyFont="1" applyFill="1" applyBorder="1" applyAlignment="1">
      <alignment horizontal="center" vertical="center"/>
    </xf>
    <xf numFmtId="0" fontId="11" fillId="11" borderId="17" xfId="0" applyFont="1" applyFill="1" applyBorder="1" applyAlignment="1">
      <alignment vertical="top" wrapText="1"/>
    </xf>
    <xf numFmtId="0" fontId="0" fillId="3" borderId="15" xfId="0" applyFill="1" applyBorder="1" applyAlignment="1">
      <alignment horizontal="left" vertical="center" wrapText="1"/>
    </xf>
    <xf numFmtId="0" fontId="0" fillId="6" borderId="15" xfId="0" applyFill="1" applyBorder="1" applyAlignment="1">
      <alignment horizontal="left" vertical="center" wrapText="1"/>
    </xf>
    <xf numFmtId="0" fontId="0" fillId="0" borderId="29" xfId="0" applyBorder="1" applyAlignment="1">
      <alignment horizontal="center"/>
    </xf>
    <xf numFmtId="168" fontId="0" fillId="0" borderId="17" xfId="0" applyNumberFormat="1" applyBorder="1"/>
    <xf numFmtId="168" fontId="0" fillId="0" borderId="23" xfId="0" applyNumberFormat="1" applyBorder="1"/>
    <xf numFmtId="168" fontId="0" fillId="0" borderId="22" xfId="0" applyNumberFormat="1" applyBorder="1"/>
    <xf numFmtId="168" fontId="0" fillId="0" borderId="20" xfId="0" applyNumberFormat="1" applyBorder="1"/>
    <xf numFmtId="0" fontId="3" fillId="0" borderId="0" xfId="0" applyFont="1" applyAlignment="1">
      <alignment horizontal="left" vertical="top"/>
    </xf>
    <xf numFmtId="166" fontId="0" fillId="5" borderId="1" xfId="5" applyNumberFormat="1" applyFont="1" applyFill="1" applyBorder="1" applyAlignment="1">
      <alignment horizontal="center" vertical="center"/>
    </xf>
    <xf numFmtId="0" fontId="0" fillId="2" borderId="0" xfId="0" applyFill="1" applyAlignment="1">
      <alignment vertical="center"/>
    </xf>
    <xf numFmtId="0" fontId="0" fillId="4" borderId="1" xfId="0" applyFill="1" applyBorder="1" applyAlignment="1">
      <alignment vertical="center"/>
    </xf>
    <xf numFmtId="166" fontId="0" fillId="2" borderId="0" xfId="5" applyNumberFormat="1" applyFont="1" applyFill="1" applyBorder="1" applyAlignment="1">
      <alignment horizontal="center" vertical="center"/>
    </xf>
    <xf numFmtId="0" fontId="0" fillId="4" borderId="1" xfId="0" applyFill="1" applyBorder="1" applyAlignment="1">
      <alignment horizontal="center"/>
    </xf>
    <xf numFmtId="166" fontId="0" fillId="2" borderId="1" xfId="5" applyNumberFormat="1" applyFont="1" applyFill="1" applyBorder="1" applyAlignment="1">
      <alignment horizontal="center" vertical="center"/>
    </xf>
    <xf numFmtId="0" fontId="0" fillId="4" borderId="1" xfId="0" applyFill="1" applyBorder="1" applyAlignment="1">
      <alignment horizontal="center" vertical="center"/>
    </xf>
    <xf numFmtId="168" fontId="0" fillId="4" borderId="1" xfId="0" applyNumberFormat="1" applyFill="1" applyBorder="1" applyAlignment="1">
      <alignment horizontal="center" vertical="center"/>
    </xf>
    <xf numFmtId="0" fontId="0" fillId="4" borderId="1" xfId="0" applyFill="1" applyBorder="1"/>
    <xf numFmtId="0" fontId="0" fillId="4" borderId="0" xfId="0" applyFill="1" applyAlignment="1">
      <alignment horizontal="center"/>
    </xf>
    <xf numFmtId="166" fontId="0" fillId="4" borderId="0" xfId="2" applyNumberFormat="1" applyFont="1" applyFill="1" applyBorder="1" applyAlignment="1">
      <alignment horizontal="center" vertical="center"/>
    </xf>
    <xf numFmtId="166" fontId="0" fillId="5" borderId="2" xfId="2" applyNumberFormat="1" applyFont="1" applyFill="1" applyBorder="1" applyAlignment="1">
      <alignment horizontal="center" vertical="center"/>
    </xf>
    <xf numFmtId="0" fontId="0" fillId="9" borderId="1" xfId="0" applyFill="1" applyBorder="1" applyAlignment="1">
      <alignment vertical="center"/>
    </xf>
    <xf numFmtId="0" fontId="0" fillId="9" borderId="1" xfId="0" applyFill="1" applyBorder="1" applyAlignment="1">
      <alignment horizontal="center" vertical="center"/>
    </xf>
    <xf numFmtId="169" fontId="0" fillId="0" borderId="0" xfId="0" applyNumberFormat="1" applyAlignment="1">
      <alignment vertical="center"/>
    </xf>
    <xf numFmtId="0" fontId="0" fillId="9" borderId="1" xfId="0" applyFill="1" applyBorder="1"/>
    <xf numFmtId="166" fontId="0" fillId="2" borderId="1" xfId="2" applyNumberFormat="1" applyFont="1" applyFill="1" applyBorder="1" applyAlignment="1">
      <alignment horizontal="center" vertical="center"/>
    </xf>
    <xf numFmtId="176" fontId="0" fillId="6" borderId="0" xfId="0" applyNumberFormat="1" applyFill="1" applyAlignment="1">
      <alignment vertical="center"/>
    </xf>
    <xf numFmtId="0" fontId="0" fillId="6" borderId="0" xfId="0" applyFill="1" applyAlignment="1">
      <alignment horizontal="left"/>
    </xf>
    <xf numFmtId="0" fontId="8" fillId="0" borderId="3" xfId="0" applyFont="1" applyBorder="1" applyAlignment="1">
      <alignment horizontal="left"/>
    </xf>
    <xf numFmtId="2" fontId="0" fillId="0" borderId="1" xfId="0" applyNumberFormat="1" applyBorder="1" applyAlignment="1">
      <alignment horizontal="center" vertical="center" wrapText="1"/>
    </xf>
    <xf numFmtId="2" fontId="0" fillId="0" borderId="1" xfId="0" applyNumberFormat="1" applyBorder="1" applyAlignment="1">
      <alignment horizontal="center"/>
    </xf>
    <xf numFmtId="2" fontId="0" fillId="0" borderId="15" xfId="0" applyNumberFormat="1" applyBorder="1" applyAlignment="1">
      <alignment horizontal="center" vertical="center" wrapText="1"/>
    </xf>
    <xf numFmtId="2" fontId="0" fillId="0" borderId="15" xfId="0" applyNumberFormat="1" applyBorder="1" applyAlignment="1">
      <alignment horizontal="center"/>
    </xf>
    <xf numFmtId="2" fontId="0" fillId="0" borderId="16" xfId="0" applyNumberFormat="1" applyBorder="1" applyAlignment="1">
      <alignment horizontal="center"/>
    </xf>
    <xf numFmtId="2" fontId="1" fillId="0" borderId="21" xfId="0" applyNumberFormat="1" applyFont="1" applyBorder="1" applyAlignment="1">
      <alignment horizontal="center"/>
    </xf>
    <xf numFmtId="0" fontId="8" fillId="0" borderId="2" xfId="0" applyFont="1" applyBorder="1"/>
    <xf numFmtId="0" fontId="8" fillId="0" borderId="4" xfId="0" applyFont="1" applyBorder="1"/>
    <xf numFmtId="0" fontId="1" fillId="0" borderId="22" xfId="0" applyFont="1" applyBorder="1"/>
    <xf numFmtId="0" fontId="0" fillId="0" borderId="14" xfId="0" applyBorder="1"/>
    <xf numFmtId="168" fontId="0" fillId="0" borderId="14" xfId="0" applyNumberFormat="1" applyBorder="1"/>
    <xf numFmtId="168" fontId="0" fillId="0" borderId="28" xfId="0" applyNumberFormat="1" applyBorder="1"/>
    <xf numFmtId="168" fontId="0" fillId="0" borderId="2" xfId="0" applyNumberFormat="1" applyBorder="1"/>
    <xf numFmtId="168" fontId="0" fillId="0" borderId="3" xfId="0" applyNumberFormat="1" applyBorder="1"/>
    <xf numFmtId="1" fontId="0" fillId="0" borderId="2" xfId="0" applyNumberFormat="1" applyBorder="1"/>
    <xf numFmtId="4" fontId="0" fillId="0" borderId="2" xfId="0" applyNumberFormat="1" applyBorder="1"/>
    <xf numFmtId="175" fontId="0" fillId="0" borderId="4" xfId="0" applyNumberFormat="1" applyBorder="1"/>
    <xf numFmtId="3" fontId="0" fillId="0" borderId="2" xfId="0" applyNumberFormat="1" applyBorder="1"/>
    <xf numFmtId="0" fontId="0" fillId="0" borderId="2" xfId="2" applyNumberFormat="1" applyFont="1" applyBorder="1" applyAlignment="1">
      <alignment horizontal="right"/>
    </xf>
    <xf numFmtId="3" fontId="0" fillId="0" borderId="14" xfId="0" applyNumberFormat="1" applyBorder="1"/>
    <xf numFmtId="3" fontId="0" fillId="0" borderId="4" xfId="0" applyNumberFormat="1" applyBorder="1"/>
    <xf numFmtId="0" fontId="0" fillId="0" borderId="4" xfId="2" applyNumberFormat="1" applyFont="1" applyBorder="1" applyAlignment="1">
      <alignment horizontal="left"/>
    </xf>
    <xf numFmtId="0" fontId="8" fillId="0" borderId="28" xfId="0" applyFont="1" applyBorder="1"/>
    <xf numFmtId="0" fontId="8" fillId="0" borderId="23" xfId="0" applyFont="1" applyBorder="1"/>
    <xf numFmtId="168" fontId="0" fillId="0" borderId="3" xfId="0" applyNumberFormat="1" applyBorder="1" applyAlignment="1">
      <alignment horizontal="left"/>
    </xf>
    <xf numFmtId="1" fontId="0" fillId="0" borderId="4" xfId="0" applyNumberFormat="1" applyBorder="1" applyAlignment="1">
      <alignment horizontal="left"/>
    </xf>
    <xf numFmtId="175" fontId="0" fillId="0" borderId="4" xfId="0" applyNumberFormat="1" applyBorder="1" applyAlignment="1">
      <alignment horizontal="left"/>
    </xf>
    <xf numFmtId="3" fontId="0" fillId="0" borderId="3" xfId="0" applyNumberFormat="1" applyBorder="1" applyAlignment="1">
      <alignment horizontal="left"/>
    </xf>
    <xf numFmtId="3" fontId="0" fillId="0" borderId="14" xfId="0" applyNumberFormat="1" applyBorder="1" applyAlignment="1">
      <alignment horizontal="left"/>
    </xf>
    <xf numFmtId="0" fontId="8" fillId="0" borderId="28" xfId="0" applyFont="1" applyBorder="1" applyAlignment="1">
      <alignment horizontal="left"/>
    </xf>
    <xf numFmtId="3" fontId="0" fillId="0" borderId="4" xfId="0" applyNumberFormat="1" applyBorder="1" applyAlignment="1">
      <alignment horizontal="left"/>
    </xf>
    <xf numFmtId="168" fontId="0" fillId="0" borderId="4" xfId="0" applyNumberFormat="1" applyBorder="1"/>
    <xf numFmtId="0" fontId="0" fillId="7" borderId="1" xfId="0" applyFill="1" applyBorder="1" applyAlignment="1">
      <alignment horizontal="left" vertical="top" wrapText="1"/>
    </xf>
    <xf numFmtId="0" fontId="0" fillId="7" borderId="1" xfId="0" applyFill="1" applyBorder="1" applyAlignment="1">
      <alignment horizontal="left" vertical="top"/>
    </xf>
    <xf numFmtId="0" fontId="0" fillId="6" borderId="1" xfId="0" applyFill="1" applyBorder="1" applyAlignment="1">
      <alignment horizontal="left" vertical="top" wrapText="1"/>
    </xf>
    <xf numFmtId="8" fontId="0" fillId="0" borderId="0" xfId="0" applyNumberFormat="1"/>
    <xf numFmtId="0" fontId="16" fillId="6" borderId="1" xfId="0" applyFont="1" applyFill="1" applyBorder="1" applyAlignment="1">
      <alignment vertical="top" wrapText="1"/>
    </xf>
    <xf numFmtId="5" fontId="16" fillId="0" borderId="1" xfId="2" applyNumberFormat="1" applyFont="1" applyBorder="1" applyAlignment="1">
      <alignment horizontal="center"/>
    </xf>
    <xf numFmtId="175" fontId="16" fillId="0" borderId="1" xfId="0" applyNumberFormat="1" applyFont="1" applyBorder="1" applyAlignment="1">
      <alignment horizontal="center"/>
    </xf>
    <xf numFmtId="175" fontId="17" fillId="0" borderId="21" xfId="2" applyNumberFormat="1" applyFont="1" applyBorder="1" applyAlignment="1">
      <alignment horizontal="center"/>
    </xf>
    <xf numFmtId="4" fontId="18" fillId="0" borderId="2" xfId="0" applyNumberFormat="1" applyFont="1" applyBorder="1"/>
    <xf numFmtId="0" fontId="0" fillId="0" borderId="2" xfId="0" applyBorder="1" applyAlignment="1">
      <alignment horizontal="left"/>
    </xf>
    <xf numFmtId="0" fontId="0" fillId="0" borderId="4" xfId="0" applyBorder="1" applyAlignment="1">
      <alignment horizontal="left"/>
    </xf>
    <xf numFmtId="0" fontId="0" fillId="0" borderId="3" xfId="0" applyBorder="1" applyAlignment="1">
      <alignment horizontal="left"/>
    </xf>
    <xf numFmtId="0" fontId="8" fillId="0" borderId="4" xfId="0" applyFont="1" applyBorder="1" applyAlignment="1">
      <alignment horizontal="left"/>
    </xf>
    <xf numFmtId="0" fontId="0" fillId="0" borderId="2" xfId="0" applyBorder="1" applyAlignment="1">
      <alignment horizontal="center"/>
    </xf>
    <xf numFmtId="0" fontId="0" fillId="0" borderId="4" xfId="0" applyBorder="1" applyAlignment="1">
      <alignment horizontal="center"/>
    </xf>
    <xf numFmtId="0" fontId="1" fillId="0" borderId="4" xfId="0" applyFont="1" applyBorder="1" applyAlignment="1">
      <alignment horizontal="left"/>
    </xf>
    <xf numFmtId="4" fontId="1" fillId="0" borderId="2" xfId="0" applyNumberFormat="1" applyFont="1" applyBorder="1"/>
    <xf numFmtId="0" fontId="0" fillId="0" borderId="30" xfId="0" applyBorder="1" applyAlignment="1">
      <alignment horizontal="center"/>
    </xf>
    <xf numFmtId="0" fontId="0" fillId="0" borderId="31" xfId="0" applyBorder="1" applyAlignment="1">
      <alignment horizontal="center"/>
    </xf>
    <xf numFmtId="1" fontId="18" fillId="0" borderId="2" xfId="0" applyNumberFormat="1" applyFont="1" applyBorder="1"/>
    <xf numFmtId="0" fontId="2" fillId="3" borderId="16" xfId="0" applyFont="1" applyFill="1" applyBorder="1" applyAlignment="1">
      <alignment horizontal="left"/>
    </xf>
    <xf numFmtId="0" fontId="2" fillId="3" borderId="14" xfId="0" applyFont="1" applyFill="1" applyBorder="1" applyAlignment="1">
      <alignment horizontal="left"/>
    </xf>
    <xf numFmtId="0" fontId="2" fillId="3" borderId="17" xfId="0" applyFont="1" applyFill="1" applyBorder="1" applyAlignment="1">
      <alignment horizontal="left"/>
    </xf>
    <xf numFmtId="0" fontId="2" fillId="3" borderId="23" xfId="0" applyFont="1" applyFill="1" applyBorder="1" applyAlignment="1">
      <alignment horizontal="left"/>
    </xf>
    <xf numFmtId="0" fontId="2" fillId="3" borderId="0" xfId="0" applyFont="1" applyFill="1" applyAlignment="1">
      <alignment horizontal="left"/>
    </xf>
    <xf numFmtId="0" fontId="2" fillId="3" borderId="22" xfId="0" applyFont="1" applyFill="1" applyBorder="1" applyAlignment="1">
      <alignment horizontal="left"/>
    </xf>
    <xf numFmtId="0" fontId="1" fillId="0" borderId="25" xfId="0" applyFont="1" applyBorder="1" applyAlignment="1">
      <alignment horizontal="right"/>
    </xf>
    <xf numFmtId="0" fontId="1" fillId="0" borderId="26" xfId="0" applyFont="1" applyBorder="1" applyAlignment="1">
      <alignment horizontal="right"/>
    </xf>
    <xf numFmtId="0" fontId="1" fillId="0" borderId="27" xfId="0" applyFont="1" applyBorder="1" applyAlignment="1">
      <alignment horizontal="right"/>
    </xf>
    <xf numFmtId="0" fontId="15" fillId="0" borderId="2" xfId="0" applyFont="1" applyBorder="1" applyAlignment="1">
      <alignment horizontal="left" wrapText="1"/>
    </xf>
    <xf numFmtId="0" fontId="15" fillId="0" borderId="4" xfId="0" applyFont="1" applyBorder="1" applyAlignment="1">
      <alignment horizontal="left" wrapText="1"/>
    </xf>
    <xf numFmtId="0" fontId="15" fillId="0" borderId="3" xfId="0" applyFont="1" applyBorder="1" applyAlignment="1">
      <alignment horizontal="left" wrapText="1"/>
    </xf>
    <xf numFmtId="0" fontId="2" fillId="6" borderId="16" xfId="0" applyFont="1" applyFill="1" applyBorder="1" applyAlignment="1">
      <alignment horizontal="left"/>
    </xf>
    <xf numFmtId="0" fontId="2" fillId="6" borderId="14" xfId="0" applyFont="1" applyFill="1" applyBorder="1" applyAlignment="1">
      <alignment horizontal="left"/>
    </xf>
    <xf numFmtId="0" fontId="2" fillId="6" borderId="17" xfId="0" applyFont="1" applyFill="1" applyBorder="1" applyAlignment="1">
      <alignment horizontal="left"/>
    </xf>
    <xf numFmtId="0" fontId="2" fillId="3" borderId="24" xfId="0" applyFont="1" applyFill="1" applyBorder="1" applyAlignment="1">
      <alignment horizontal="left"/>
    </xf>
    <xf numFmtId="0" fontId="2" fillId="3" borderId="28" xfId="0" applyFont="1" applyFill="1" applyBorder="1" applyAlignment="1">
      <alignment horizontal="left"/>
    </xf>
    <xf numFmtId="0" fontId="2" fillId="3" borderId="20" xfId="0" applyFont="1" applyFill="1" applyBorder="1" applyAlignment="1">
      <alignment horizontal="left"/>
    </xf>
    <xf numFmtId="0" fontId="0" fillId="0" borderId="2" xfId="0" applyBorder="1" applyAlignment="1">
      <alignment horizontal="left" vertical="top" wrapText="1"/>
    </xf>
    <xf numFmtId="0" fontId="0" fillId="0" borderId="4" xfId="0" applyBorder="1" applyAlignment="1">
      <alignment horizontal="left" vertical="top" wrapText="1"/>
    </xf>
    <xf numFmtId="0" fontId="0" fillId="0" borderId="3" xfId="0" applyBorder="1" applyAlignment="1">
      <alignment horizontal="left" vertical="top" wrapText="1"/>
    </xf>
    <xf numFmtId="0" fontId="1" fillId="0" borderId="2" xfId="0" applyFont="1" applyBorder="1" applyAlignment="1">
      <alignment horizontal="left" vertical="top"/>
    </xf>
    <xf numFmtId="0" fontId="1" fillId="0" borderId="4" xfId="0" applyFont="1" applyBorder="1" applyAlignment="1">
      <alignment horizontal="left" vertical="top"/>
    </xf>
    <xf numFmtId="0" fontId="1" fillId="0" borderId="3" xfId="0" applyFont="1" applyBorder="1" applyAlignment="1">
      <alignment horizontal="left" vertical="top"/>
    </xf>
    <xf numFmtId="0" fontId="0" fillId="0" borderId="2" xfId="0" applyBorder="1" applyAlignment="1">
      <alignment horizontal="left"/>
    </xf>
    <xf numFmtId="0" fontId="0" fillId="0" borderId="4" xfId="0" applyBorder="1" applyAlignment="1">
      <alignment horizontal="left"/>
    </xf>
    <xf numFmtId="0" fontId="0" fillId="0" borderId="3" xfId="0" applyBorder="1" applyAlignment="1">
      <alignment horizontal="left"/>
    </xf>
    <xf numFmtId="0" fontId="8" fillId="0" borderId="2" xfId="0" applyFont="1" applyBorder="1" applyAlignment="1">
      <alignment horizontal="left"/>
    </xf>
    <xf numFmtId="0" fontId="8" fillId="0" borderId="4" xfId="0" applyFont="1" applyBorder="1" applyAlignment="1">
      <alignment horizontal="left"/>
    </xf>
    <xf numFmtId="167" fontId="0" fillId="0" borderId="3" xfId="0" applyNumberFormat="1" applyBorder="1" applyAlignment="1">
      <alignment horizontal="left" vertical="center"/>
    </xf>
    <xf numFmtId="168" fontId="0" fillId="0" borderId="3" xfId="0" applyNumberFormat="1" applyBorder="1" applyAlignment="1">
      <alignment horizontal="left" vertical="center"/>
    </xf>
    <xf numFmtId="0" fontId="0" fillId="0" borderId="2" xfId="0" applyBorder="1" applyAlignment="1">
      <alignment horizontal="center"/>
    </xf>
    <xf numFmtId="0" fontId="0" fillId="0" borderId="4" xfId="0" applyBorder="1" applyAlignment="1">
      <alignment horizontal="center"/>
    </xf>
    <xf numFmtId="168" fontId="0" fillId="0" borderId="2" xfId="0" applyNumberFormat="1" applyBorder="1" applyAlignment="1">
      <alignment horizontal="right" vertical="center"/>
    </xf>
    <xf numFmtId="168" fontId="0" fillId="0" borderId="16" xfId="0" applyNumberFormat="1" applyBorder="1" applyAlignment="1">
      <alignment horizontal="right" vertical="center"/>
    </xf>
    <xf numFmtId="168" fontId="0" fillId="0" borderId="24" xfId="0" applyNumberFormat="1" applyBorder="1" applyAlignment="1">
      <alignment horizontal="right" vertical="center"/>
    </xf>
    <xf numFmtId="0" fontId="1" fillId="0" borderId="2" xfId="0" applyFont="1" applyBorder="1" applyAlignment="1">
      <alignment horizontal="left"/>
    </xf>
    <xf numFmtId="0" fontId="1" fillId="0" borderId="4" xfId="0" applyFont="1" applyBorder="1" applyAlignment="1">
      <alignment horizontal="left"/>
    </xf>
    <xf numFmtId="0" fontId="1" fillId="0" borderId="24" xfId="0" applyFont="1" applyBorder="1" applyAlignment="1">
      <alignment horizontal="left"/>
    </xf>
    <xf numFmtId="0" fontId="1" fillId="0" borderId="28" xfId="0" applyFont="1" applyBorder="1" applyAlignment="1">
      <alignment horizontal="left"/>
    </xf>
    <xf numFmtId="0" fontId="2" fillId="3" borderId="2" xfId="0" applyFont="1" applyFill="1" applyBorder="1" applyAlignment="1">
      <alignment horizontal="left"/>
    </xf>
    <xf numFmtId="0" fontId="2" fillId="3" borderId="4" xfId="0" applyFont="1" applyFill="1" applyBorder="1" applyAlignment="1">
      <alignment horizontal="left"/>
    </xf>
    <xf numFmtId="0" fontId="2" fillId="3" borderId="3" xfId="0" applyFont="1" applyFill="1" applyBorder="1" applyAlignment="1">
      <alignment horizontal="left"/>
    </xf>
    <xf numFmtId="0" fontId="14" fillId="12" borderId="2" xfId="0" applyFont="1" applyFill="1" applyBorder="1" applyAlignment="1">
      <alignment horizontal="center" vertical="center" wrapText="1"/>
    </xf>
    <xf numFmtId="0" fontId="14" fillId="12" borderId="4" xfId="0" applyFont="1" applyFill="1" applyBorder="1" applyAlignment="1">
      <alignment horizontal="center" vertical="center" wrapText="1"/>
    </xf>
    <xf numFmtId="0" fontId="14" fillId="12" borderId="3" xfId="0" applyFont="1" applyFill="1" applyBorder="1" applyAlignment="1">
      <alignment horizontal="center" vertical="center" wrapText="1"/>
    </xf>
    <xf numFmtId="0" fontId="0" fillId="3" borderId="16" xfId="0" applyFill="1" applyBorder="1" applyAlignment="1">
      <alignment horizontal="center"/>
    </xf>
    <xf numFmtId="0" fontId="0" fillId="3" borderId="14" xfId="0" applyFill="1" applyBorder="1" applyAlignment="1">
      <alignment horizontal="center"/>
    </xf>
    <xf numFmtId="0" fontId="0" fillId="3" borderId="17" xfId="0"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3" borderId="22" xfId="0" applyFill="1" applyBorder="1" applyAlignment="1">
      <alignment horizontal="center"/>
    </xf>
    <xf numFmtId="0" fontId="0" fillId="3" borderId="24" xfId="0" applyFill="1" applyBorder="1" applyAlignment="1">
      <alignment horizontal="center"/>
    </xf>
    <xf numFmtId="0" fontId="0" fillId="3" borderId="28" xfId="0" applyFill="1" applyBorder="1" applyAlignment="1">
      <alignment horizontal="center"/>
    </xf>
    <xf numFmtId="0" fontId="0" fillId="3" borderId="20" xfId="0" applyFill="1" applyBorder="1" applyAlignment="1">
      <alignment horizontal="center"/>
    </xf>
    <xf numFmtId="0" fontId="11" fillId="11" borderId="16" xfId="0" applyFont="1" applyFill="1" applyBorder="1" applyAlignment="1">
      <alignment horizontal="center"/>
    </xf>
    <xf numFmtId="0" fontId="11" fillId="11" borderId="14" xfId="0" applyFont="1" applyFill="1" applyBorder="1" applyAlignment="1">
      <alignment horizontal="center"/>
    </xf>
    <xf numFmtId="0" fontId="11" fillId="11" borderId="17" xfId="0" applyFont="1" applyFill="1" applyBorder="1" applyAlignment="1">
      <alignment horizontal="center"/>
    </xf>
    <xf numFmtId="0" fontId="11" fillId="11" borderId="23" xfId="0" applyFont="1" applyFill="1" applyBorder="1" applyAlignment="1">
      <alignment horizontal="center"/>
    </xf>
    <xf numFmtId="0" fontId="11" fillId="11" borderId="0" xfId="0" applyFont="1" applyFill="1" applyAlignment="1">
      <alignment horizontal="center"/>
    </xf>
    <xf numFmtId="0" fontId="11" fillId="11" borderId="22" xfId="0" applyFont="1" applyFill="1" applyBorder="1" applyAlignment="1">
      <alignment horizontal="center"/>
    </xf>
    <xf numFmtId="0" fontId="11" fillId="11" borderId="24" xfId="0" applyFont="1" applyFill="1" applyBorder="1" applyAlignment="1">
      <alignment horizontal="center"/>
    </xf>
    <xf numFmtId="0" fontId="11" fillId="11" borderId="28" xfId="0" applyFont="1" applyFill="1" applyBorder="1" applyAlignment="1">
      <alignment horizontal="center"/>
    </xf>
    <xf numFmtId="0" fontId="11" fillId="11" borderId="20" xfId="0" applyFont="1" applyFill="1" applyBorder="1" applyAlignment="1">
      <alignment horizontal="center"/>
    </xf>
    <xf numFmtId="0" fontId="11" fillId="12" borderId="14" xfId="0" applyFont="1" applyFill="1" applyBorder="1" applyAlignment="1">
      <alignment horizontal="center"/>
    </xf>
    <xf numFmtId="0" fontId="11" fillId="12" borderId="17" xfId="0" applyFont="1" applyFill="1" applyBorder="1" applyAlignment="1">
      <alignment horizontal="center"/>
    </xf>
    <xf numFmtId="0" fontId="11" fillId="12" borderId="0" xfId="0" applyFont="1" applyFill="1" applyAlignment="1">
      <alignment horizontal="center"/>
    </xf>
    <xf numFmtId="0" fontId="11" fillId="12" borderId="22" xfId="0" applyFont="1" applyFill="1" applyBorder="1" applyAlignment="1">
      <alignment horizontal="center"/>
    </xf>
    <xf numFmtId="0" fontId="11" fillId="12" borderId="28" xfId="0" applyFont="1" applyFill="1" applyBorder="1" applyAlignment="1">
      <alignment horizontal="center"/>
    </xf>
    <xf numFmtId="0" fontId="11" fillId="12" borderId="20" xfId="0" applyFont="1" applyFill="1" applyBorder="1" applyAlignment="1">
      <alignment horizontal="center"/>
    </xf>
    <xf numFmtId="164" fontId="2" fillId="6" borderId="2" xfId="0" applyNumberFormat="1" applyFont="1" applyFill="1" applyBorder="1" applyAlignment="1">
      <alignment horizontal="left"/>
    </xf>
    <xf numFmtId="164" fontId="2" fillId="6" borderId="4" xfId="0" applyNumberFormat="1" applyFont="1" applyFill="1" applyBorder="1" applyAlignment="1">
      <alignment horizontal="left"/>
    </xf>
    <xf numFmtId="164" fontId="2" fillId="6" borderId="3" xfId="0" applyNumberFormat="1" applyFont="1" applyFill="1" applyBorder="1" applyAlignment="1">
      <alignment horizontal="left"/>
    </xf>
    <xf numFmtId="0" fontId="11" fillId="11" borderId="16" xfId="0" applyFont="1" applyFill="1" applyBorder="1" applyAlignment="1">
      <alignment vertical="top" wrapText="1"/>
    </xf>
    <xf numFmtId="0" fontId="12" fillId="11" borderId="17" xfId="0" applyFont="1" applyFill="1" applyBorder="1" applyAlignment="1">
      <alignment vertical="top" wrapText="1"/>
    </xf>
    <xf numFmtId="0" fontId="9" fillId="11" borderId="2" xfId="0" applyFont="1" applyFill="1" applyBorder="1" applyAlignment="1">
      <alignment horizontal="left"/>
    </xf>
    <xf numFmtId="0" fontId="9" fillId="11" borderId="4" xfId="0" applyFont="1" applyFill="1" applyBorder="1" applyAlignment="1">
      <alignment horizontal="left"/>
    </xf>
    <xf numFmtId="0" fontId="9" fillId="11" borderId="3" xfId="0" applyFont="1" applyFill="1" applyBorder="1" applyAlignment="1">
      <alignment horizontal="left"/>
    </xf>
    <xf numFmtId="0" fontId="0" fillId="6" borderId="2" xfId="0" applyFill="1" applyBorder="1" applyAlignment="1">
      <alignment horizontal="left" vertical="top" wrapText="1"/>
    </xf>
    <xf numFmtId="0" fontId="0" fillId="6" borderId="4" xfId="0" applyFill="1" applyBorder="1" applyAlignment="1">
      <alignment horizontal="left" vertical="top" wrapText="1"/>
    </xf>
    <xf numFmtId="0" fontId="2" fillId="6" borderId="1" xfId="0" applyFont="1" applyFill="1" applyBorder="1" applyAlignment="1">
      <alignment horizontal="left"/>
    </xf>
    <xf numFmtId="0" fontId="0" fillId="0" borderId="3" xfId="0" applyBorder="1" applyAlignment="1">
      <alignment horizontal="center"/>
    </xf>
    <xf numFmtId="0" fontId="2" fillId="3" borderId="18" xfId="0" applyFont="1" applyFill="1" applyBorder="1" applyAlignment="1">
      <alignment horizontal="left"/>
    </xf>
    <xf numFmtId="0" fontId="3" fillId="3" borderId="18" xfId="0" applyFont="1" applyFill="1" applyBorder="1" applyAlignment="1">
      <alignment horizontal="left"/>
    </xf>
    <xf numFmtId="0" fontId="2" fillId="3" borderId="1" xfId="0" applyFont="1" applyFill="1" applyBorder="1" applyAlignment="1">
      <alignment horizontal="left"/>
    </xf>
    <xf numFmtId="0" fontId="3" fillId="3" borderId="1" xfId="0" applyFont="1" applyFill="1" applyBorder="1" applyAlignment="1">
      <alignment horizontal="left"/>
    </xf>
  </cellXfs>
  <cellStyles count="6">
    <cellStyle name="Komma" xfId="2" builtinId="3"/>
    <cellStyle name="Komma 2" xfId="3" xr:uid="{84C03E0B-4119-4DE3-83D6-5C770BD346B3}"/>
    <cellStyle name="Komma 3" xfId="4" xr:uid="{D8FF3260-F364-45AF-A700-07E5ABFEC337}"/>
    <cellStyle name="Komma 4" xfId="5" xr:uid="{D0B16005-0D36-42D0-83CF-3957BD7C1434}"/>
    <cellStyle name="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47"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48"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theme" Target="theme/theme1.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E0FFA-0D76-474E-95E9-DCF18C95B4B3}">
  <sheetPr>
    <pageSetUpPr fitToPage="1"/>
  </sheetPr>
  <dimension ref="B1:Q46"/>
  <sheetViews>
    <sheetView showGridLines="0" tabSelected="1" zoomScaleNormal="100" workbookViewId="0">
      <selection activeCell="C25" sqref="C25"/>
    </sheetView>
  </sheetViews>
  <sheetFormatPr defaultRowHeight="14.5" x14ac:dyDescent="0.35"/>
  <cols>
    <col min="1" max="2" width="1.54296875" customWidth="1"/>
    <col min="3" max="3" width="36.54296875" customWidth="1"/>
    <col min="4" max="4" width="44" customWidth="1"/>
    <col min="5" max="5" width="10.54296875" customWidth="1"/>
    <col min="6" max="6" width="11.7265625" customWidth="1"/>
    <col min="7" max="7" width="14" customWidth="1"/>
    <col min="8" max="8" width="9.7265625" bestFit="1" customWidth="1"/>
    <col min="9" max="9" width="12.453125" bestFit="1" customWidth="1"/>
    <col min="10" max="10" width="13.81640625" bestFit="1" customWidth="1"/>
    <col min="11" max="11" width="10.1796875" customWidth="1"/>
    <col min="12" max="12" width="19" customWidth="1"/>
    <col min="13" max="13" width="16.26953125" customWidth="1"/>
    <col min="14" max="14" width="17.7265625" customWidth="1"/>
    <col min="15" max="15" width="19.81640625" customWidth="1"/>
    <col min="16" max="16" width="26.26953125" customWidth="1"/>
    <col min="17" max="17" width="1.54296875" customWidth="1"/>
  </cols>
  <sheetData>
    <row r="1" spans="2:17" ht="6" customHeight="1" thickBot="1" x14ac:dyDescent="0.4"/>
    <row r="2" spans="2:17" ht="8.5" customHeight="1" x14ac:dyDescent="0.35">
      <c r="B2" s="9"/>
      <c r="C2" s="10"/>
      <c r="D2" s="10"/>
      <c r="E2" s="10"/>
      <c r="F2" s="10"/>
      <c r="G2" s="10"/>
      <c r="H2" s="10"/>
      <c r="I2" s="10"/>
      <c r="J2" s="10"/>
      <c r="K2" s="10"/>
      <c r="L2" s="10"/>
      <c r="M2" s="10"/>
      <c r="N2" s="10"/>
      <c r="O2" s="10"/>
      <c r="P2" s="10"/>
      <c r="Q2" s="11"/>
    </row>
    <row r="3" spans="2:17" s="121" customFormat="1" ht="25.15" customHeight="1" x14ac:dyDescent="0.5">
      <c r="B3" s="129"/>
      <c r="C3" s="233" t="s">
        <v>225</v>
      </c>
      <c r="D3" s="234"/>
      <c r="E3" s="234"/>
      <c r="F3" s="234"/>
      <c r="G3" s="234"/>
      <c r="H3" s="234"/>
      <c r="I3" s="234"/>
      <c r="J3" s="234"/>
      <c r="K3" s="234"/>
      <c r="L3" s="234"/>
      <c r="M3" s="234"/>
      <c r="N3" s="234"/>
      <c r="O3" s="234"/>
      <c r="P3" s="235"/>
      <c r="Q3" s="130"/>
    </row>
    <row r="4" spans="2:17" s="121" customFormat="1" ht="25.15" customHeight="1" x14ac:dyDescent="0.5">
      <c r="B4" s="129"/>
      <c r="C4" s="236" t="s">
        <v>0</v>
      </c>
      <c r="D4" s="237"/>
      <c r="E4" s="237"/>
      <c r="F4" s="237"/>
      <c r="G4" s="237"/>
      <c r="H4" s="237"/>
      <c r="I4" s="237"/>
      <c r="J4" s="237"/>
      <c r="K4" s="237"/>
      <c r="L4" s="237"/>
      <c r="M4" s="237"/>
      <c r="N4" s="237"/>
      <c r="O4" s="237"/>
      <c r="P4" s="238"/>
      <c r="Q4" s="130"/>
    </row>
    <row r="5" spans="2:17" ht="6" customHeight="1" x14ac:dyDescent="0.35">
      <c r="B5" s="12"/>
      <c r="C5" s="99"/>
      <c r="D5" s="126"/>
      <c r="E5" s="126"/>
      <c r="F5" s="126"/>
      <c r="G5" s="126"/>
      <c r="H5" s="126"/>
      <c r="I5" s="126"/>
      <c r="J5" s="126"/>
      <c r="K5" s="126"/>
      <c r="L5" s="126"/>
      <c r="M5" s="126"/>
      <c r="N5" s="126"/>
      <c r="O5" s="126"/>
      <c r="P5" s="76"/>
      <c r="Q5" s="13"/>
    </row>
    <row r="6" spans="2:17" ht="105.75" customHeight="1" x14ac:dyDescent="0.35">
      <c r="B6" s="12"/>
      <c r="C6" s="213" t="s">
        <v>1</v>
      </c>
      <c r="D6" s="214" t="s">
        <v>2</v>
      </c>
      <c r="E6" s="214" t="s">
        <v>3</v>
      </c>
      <c r="F6" s="213" t="s">
        <v>4</v>
      </c>
      <c r="G6" s="213" t="s">
        <v>5</v>
      </c>
      <c r="H6" s="213" t="s">
        <v>6</v>
      </c>
      <c r="I6" s="213" t="s">
        <v>7</v>
      </c>
      <c r="J6" s="213" t="s">
        <v>8</v>
      </c>
      <c r="K6" s="214" t="s">
        <v>9</v>
      </c>
      <c r="L6" s="213" t="s">
        <v>10</v>
      </c>
      <c r="M6" s="215" t="s">
        <v>11</v>
      </c>
      <c r="N6" s="213" t="s">
        <v>12</v>
      </c>
      <c r="O6" s="215" t="s">
        <v>13</v>
      </c>
      <c r="P6" s="217" t="s">
        <v>14</v>
      </c>
      <c r="Q6" s="13"/>
    </row>
    <row r="7" spans="2:17" ht="14.5" customHeight="1" x14ac:dyDescent="0.35">
      <c r="B7" s="12"/>
      <c r="C7" s="30" t="s">
        <v>15</v>
      </c>
      <c r="D7" s="81" t="s">
        <v>16</v>
      </c>
      <c r="E7" s="81">
        <v>64831712</v>
      </c>
      <c r="F7" s="181">
        <v>0.5</v>
      </c>
      <c r="G7" s="182">
        <f>+'1'!L27</f>
        <v>28.995253034931451</v>
      </c>
      <c r="H7" s="182">
        <f>+'1 ø'!I27</f>
        <v>10.266032885988293</v>
      </c>
      <c r="I7" s="182">
        <f>+'1e_str3'!L14</f>
        <v>2.0074443786481688</v>
      </c>
      <c r="J7" s="182">
        <f>+'1ie_str3'!I16</f>
        <v>9.9760000000000001E-2</v>
      </c>
      <c r="K7" s="182">
        <f>+G7+H7+F7+I7+J7</f>
        <v>41.868490299567917</v>
      </c>
      <c r="L7" s="123">
        <f>+K7*'Beregning og partsberegning'!D$21</f>
        <v>80688.894061539264</v>
      </c>
      <c r="M7" s="123">
        <f>'Beregning og partsberegning'!$D$25*K7</f>
        <v>29778.876206153949</v>
      </c>
      <c r="N7" s="123">
        <f>+L7+M7</f>
        <v>110467.77026769321</v>
      </c>
      <c r="O7" s="123">
        <f>K7*'Beregning og partsberegning'!$D$15</f>
        <v>1137224.7999987926</v>
      </c>
      <c r="P7" s="218">
        <f>+'1'!O27+'1 ø'!E27</f>
        <v>312752150</v>
      </c>
      <c r="Q7" s="13"/>
    </row>
    <row r="8" spans="2:17" ht="14.5" customHeight="1" x14ac:dyDescent="0.35">
      <c r="B8" s="12"/>
      <c r="C8" s="30" t="s">
        <v>17</v>
      </c>
      <c r="D8" s="81" t="s">
        <v>18</v>
      </c>
      <c r="E8" s="81">
        <v>32468349</v>
      </c>
      <c r="F8" s="181">
        <v>0.5</v>
      </c>
      <c r="G8" s="182">
        <f>+'2'!L20</f>
        <v>0.85616427133791262</v>
      </c>
      <c r="H8" s="182">
        <f>+'2ø'!I18</f>
        <v>2.8681355627837413E-2</v>
      </c>
      <c r="I8" s="182"/>
      <c r="J8" s="182"/>
      <c r="K8" s="182">
        <f t="shared" ref="K8:K21" si="0">+G8+H8+F8+I8+J8</f>
        <v>1.3848456269657501</v>
      </c>
      <c r="L8" s="123">
        <f>+K8*'Beregning og partsberegning'!D$21</f>
        <v>2668.872493044692</v>
      </c>
      <c r="M8" s="123">
        <f>'Beregning og partsberegning'!$D$25*K8</f>
        <v>984.96855738006661</v>
      </c>
      <c r="N8" s="123">
        <f t="shared" ref="N8:N21" si="1">+L8+M8</f>
        <v>3653.8410504247586</v>
      </c>
      <c r="O8" s="123">
        <f>K8*'Beregning og partsberegning'!$D$15</f>
        <v>37614.940970813564</v>
      </c>
      <c r="P8" s="219">
        <f>+'2'!O20+'2ø'!E18</f>
        <v>1177950</v>
      </c>
      <c r="Q8" s="13"/>
    </row>
    <row r="9" spans="2:17" ht="14.5" customHeight="1" x14ac:dyDescent="0.35">
      <c r="B9" s="12"/>
      <c r="C9" s="30" t="s">
        <v>19</v>
      </c>
      <c r="D9" s="81" t="s">
        <v>20</v>
      </c>
      <c r="E9" s="81">
        <v>21536849</v>
      </c>
      <c r="F9" s="181">
        <v>0.5</v>
      </c>
      <c r="G9" s="182">
        <f>+'3'!L17</f>
        <v>18.671243012759724</v>
      </c>
      <c r="H9" s="182">
        <f>+'3ø'!I17</f>
        <v>5.4403149263640396</v>
      </c>
      <c r="I9" s="182">
        <f>+'3e_str3 '!L17</f>
        <v>3.3838084764402337E-2</v>
      </c>
      <c r="J9" s="182">
        <f>+'3ie_str3'!I16</f>
        <v>6.5284999999999996E-2</v>
      </c>
      <c r="K9" s="182">
        <f t="shared" si="0"/>
        <v>24.710681023888164</v>
      </c>
      <c r="L9" s="123">
        <f>+K9*'Beregning og partsberegning'!D$21</f>
        <v>47622.388795460756</v>
      </c>
      <c r="M9" s="123">
        <f>'Beregning og partsberegning'!$D$25*K9</f>
        <v>17575.420224495585</v>
      </c>
      <c r="N9" s="123">
        <f t="shared" si="1"/>
        <v>65197.809019956345</v>
      </c>
      <c r="O9" s="123">
        <f>K9*'Beregning og partsberegning'!$D$15</f>
        <v>671187.30778585491</v>
      </c>
      <c r="P9" s="219">
        <f>+'3'!O17+'3ø'!E17</f>
        <v>145192850</v>
      </c>
      <c r="Q9" s="13"/>
    </row>
    <row r="10" spans="2:17" ht="14.5" customHeight="1" x14ac:dyDescent="0.35">
      <c r="B10" s="12"/>
      <c r="C10" s="30" t="s">
        <v>21</v>
      </c>
      <c r="D10" s="81" t="s">
        <v>22</v>
      </c>
      <c r="E10" s="81">
        <v>40318941</v>
      </c>
      <c r="F10" s="181">
        <v>0.5</v>
      </c>
      <c r="G10" s="182">
        <f>+'4'!L25</f>
        <v>2.9408343202363056</v>
      </c>
      <c r="H10" s="182">
        <f>+'4ø'!I23</f>
        <v>0.71904920445898823</v>
      </c>
      <c r="I10" s="182"/>
      <c r="J10" s="182"/>
      <c r="K10" s="182">
        <f t="shared" si="0"/>
        <v>4.1598835246952941</v>
      </c>
      <c r="L10" s="123">
        <f>+K10*'Beregning og partsberegning'!D$21</f>
        <v>8016.9215233429395</v>
      </c>
      <c r="M10" s="123">
        <f>'Beregning og partsberegning'!$D$25*K10</f>
        <v>2958.708461365251</v>
      </c>
      <c r="N10" s="123">
        <f t="shared" si="1"/>
        <v>10975.62998470819</v>
      </c>
      <c r="O10" s="123">
        <f>K10*'Beregning og partsberegning'!$D$15</f>
        <v>112990.0475403265</v>
      </c>
      <c r="P10" s="219">
        <f>+'4'!O25+'4ø'!E23</f>
        <v>27295674.999999996</v>
      </c>
      <c r="Q10" s="13"/>
    </row>
    <row r="11" spans="2:17" ht="14.5" customHeight="1" x14ac:dyDescent="0.35">
      <c r="B11" s="12"/>
      <c r="C11" s="61">
        <v>5</v>
      </c>
      <c r="D11" s="81" t="s">
        <v>23</v>
      </c>
      <c r="E11" s="81">
        <v>42885746</v>
      </c>
      <c r="F11" s="181">
        <v>0.5</v>
      </c>
      <c r="G11" s="182">
        <f>'5 '!L19</f>
        <v>0.3133894824870872</v>
      </c>
      <c r="H11" s="182"/>
      <c r="I11" s="182"/>
      <c r="J11" s="182"/>
      <c r="K11" s="182">
        <f t="shared" si="0"/>
        <v>0.8133894824870872</v>
      </c>
      <c r="L11" s="123">
        <f>+K11*'Beregning og partsberegning'!D$21</f>
        <v>1567.5630363927437</v>
      </c>
      <c r="M11" s="123">
        <f>'Beregning og partsberegning'!$D$25*K11</f>
        <v>578.52156915771491</v>
      </c>
      <c r="N11" s="123">
        <f t="shared" si="1"/>
        <v>2146.0846055504585</v>
      </c>
      <c r="O11" s="123">
        <f>K11*'Beregning og partsberegning'!$D$15</f>
        <v>22093.146538700134</v>
      </c>
      <c r="P11" s="219">
        <f>+'5 '!O19</f>
        <v>584650</v>
      </c>
      <c r="Q11" s="13"/>
    </row>
    <row r="12" spans="2:17" ht="14.5" customHeight="1" x14ac:dyDescent="0.35">
      <c r="B12" s="12"/>
      <c r="C12" s="61" t="s">
        <v>24</v>
      </c>
      <c r="D12" s="81" t="s">
        <v>25</v>
      </c>
      <c r="E12" s="81">
        <v>26759722</v>
      </c>
      <c r="F12" s="181">
        <v>0.5</v>
      </c>
      <c r="G12" s="182">
        <f>+'6'!L14</f>
        <v>3.5</v>
      </c>
      <c r="H12" s="182">
        <f>+'6ø'!I14</f>
        <v>1.3</v>
      </c>
      <c r="I12" s="182"/>
      <c r="J12" s="182"/>
      <c r="K12" s="182">
        <f t="shared" si="0"/>
        <v>5.3</v>
      </c>
      <c r="L12" s="123">
        <f>+K12*'Beregning og partsberegning'!D$21</f>
        <v>10214.152348611706</v>
      </c>
      <c r="M12" s="123">
        <f>'Beregning og partsberegning'!$D$25*K12</f>
        <v>3769.6139211937316</v>
      </c>
      <c r="N12" s="123">
        <f t="shared" si="1"/>
        <v>13983.766269805437</v>
      </c>
      <c r="O12" s="123">
        <f>K12*'Beregning og partsberegning'!$D$15</f>
        <v>143957.69699046927</v>
      </c>
      <c r="P12" s="219">
        <f>+'6'!O14+'6ø'!E14</f>
        <v>14082774.999999993</v>
      </c>
      <c r="Q12" s="13"/>
    </row>
    <row r="13" spans="2:17" ht="14.5" customHeight="1" x14ac:dyDescent="0.35">
      <c r="B13" s="12"/>
      <c r="C13" s="61">
        <v>7</v>
      </c>
      <c r="D13" s="81" t="s">
        <v>26</v>
      </c>
      <c r="E13" s="81">
        <v>37302457</v>
      </c>
      <c r="F13" s="181">
        <v>0.5</v>
      </c>
      <c r="G13" s="182">
        <f>+'7'!L14</f>
        <v>2.0005675647866029E-2</v>
      </c>
      <c r="H13" s="182"/>
      <c r="I13" s="182"/>
      <c r="J13" s="182"/>
      <c r="K13" s="182">
        <f t="shared" si="0"/>
        <v>0.52000567564786604</v>
      </c>
      <c r="L13" s="123">
        <f>+K13*'Beregning og partsberegning'!D$21</f>
        <v>1002.1541873981261</v>
      </c>
      <c r="M13" s="123">
        <f>'Beregning og partsberegning'!$D$25*K13</f>
        <v>369.8529498154619</v>
      </c>
      <c r="N13" s="123">
        <f t="shared" si="1"/>
        <v>1372.0071372135881</v>
      </c>
      <c r="O13" s="123">
        <f>K13*'Beregning og partsberegning'!$D$15</f>
        <v>14124.30556381882</v>
      </c>
      <c r="P13" s="219">
        <f>+'7'!O14</f>
        <v>162800</v>
      </c>
      <c r="Q13" s="13"/>
    </row>
    <row r="14" spans="2:17" ht="14.5" customHeight="1" x14ac:dyDescent="0.35">
      <c r="B14" s="12"/>
      <c r="C14" s="30" t="s">
        <v>27</v>
      </c>
      <c r="D14" s="81" t="s">
        <v>28</v>
      </c>
      <c r="E14" s="81">
        <v>37284114</v>
      </c>
      <c r="F14" s="181">
        <v>0.5</v>
      </c>
      <c r="G14" s="182">
        <f>+'8'!L14</f>
        <v>9.8307988441602105E-3</v>
      </c>
      <c r="H14" s="182">
        <f>+'8ø'!I14</f>
        <v>9.8307988441602105E-3</v>
      </c>
      <c r="I14" s="182"/>
      <c r="J14" s="182"/>
      <c r="K14" s="182">
        <f t="shared" si="0"/>
        <v>0.51966159768832043</v>
      </c>
      <c r="L14" s="123">
        <f>+K14*'Beregning og partsberegning'!D$21</f>
        <v>1001.4910808512207</v>
      </c>
      <c r="M14" s="123">
        <f>'Beregning og partsberegning'!$D$25*K14</f>
        <v>369.60822508597528</v>
      </c>
      <c r="N14" s="123">
        <f t="shared" si="1"/>
        <v>1371.0993059371958</v>
      </c>
      <c r="O14" s="123">
        <f>K14*'Beregning og partsberegning'!$D$15</f>
        <v>14114.959776905354</v>
      </c>
      <c r="P14" s="219">
        <f>+'8'!O14+'8ø'!E14</f>
        <v>160000</v>
      </c>
      <c r="Q14" s="13"/>
    </row>
    <row r="15" spans="2:17" ht="14.5" customHeight="1" x14ac:dyDescent="0.35">
      <c r="B15" s="12"/>
      <c r="C15" s="61">
        <v>9</v>
      </c>
      <c r="D15" s="81" t="s">
        <v>29</v>
      </c>
      <c r="E15" s="81">
        <v>22985817</v>
      </c>
      <c r="F15" s="181">
        <v>0.5</v>
      </c>
      <c r="G15" s="182">
        <f>+'9'!L16</f>
        <v>0.19686174685430821</v>
      </c>
      <c r="H15" s="182"/>
      <c r="I15" s="182"/>
      <c r="J15" s="182"/>
      <c r="K15" s="182">
        <f t="shared" si="0"/>
        <v>0.69686174685430824</v>
      </c>
      <c r="L15" s="123">
        <f>+K15*'Beregning og partsberegning'!D$21</f>
        <v>1342.9909525074695</v>
      </c>
      <c r="M15" s="123">
        <f>'Beregning og partsberegning'!$D$25*K15</f>
        <v>495.64146077158159</v>
      </c>
      <c r="N15" s="123">
        <f t="shared" si="1"/>
        <v>1838.632413279051</v>
      </c>
      <c r="O15" s="123">
        <f>K15*'Beregning og partsberegning'!$D$15</f>
        <v>18928.040037339924</v>
      </c>
      <c r="P15" s="219">
        <f>+'9'!O16</f>
        <v>1602000</v>
      </c>
      <c r="Q15" s="13"/>
    </row>
    <row r="16" spans="2:17" ht="14.5" customHeight="1" x14ac:dyDescent="0.35">
      <c r="B16" s="12"/>
      <c r="C16" s="61" t="s">
        <v>30</v>
      </c>
      <c r="D16" s="81" t="s">
        <v>31</v>
      </c>
      <c r="E16" s="81">
        <v>29188947</v>
      </c>
      <c r="F16" s="181">
        <v>0.5</v>
      </c>
      <c r="G16" s="182">
        <f>+'10'!L21</f>
        <v>27.852176899326707</v>
      </c>
      <c r="H16" s="182">
        <f>+'10ø'!I19</f>
        <v>7.6931407894917934</v>
      </c>
      <c r="I16" s="182"/>
      <c r="J16" s="182">
        <f>+'10ie_str3'!I16</f>
        <v>6.5284999999999996E-2</v>
      </c>
      <c r="K16" s="182">
        <f t="shared" si="0"/>
        <v>36.110602688818503</v>
      </c>
      <c r="L16" s="123">
        <f>+K16*'Beregning og partsberegning'!D$21</f>
        <v>69592.301370524467</v>
      </c>
      <c r="M16" s="123">
        <f>'Beregning og partsberegning'!$D$25*K16</f>
        <v>25683.590678955854</v>
      </c>
      <c r="N16" s="123">
        <f t="shared" si="1"/>
        <v>95275.892049480317</v>
      </c>
      <c r="O16" s="123">
        <f>K16*'Beregning og partsberegning'!$D$15</f>
        <v>980830.03773965267</v>
      </c>
      <c r="P16" s="219">
        <f>+'10'!O21+'10ø'!E19</f>
        <v>138202599.99999991</v>
      </c>
      <c r="Q16" s="13"/>
    </row>
    <row r="17" spans="2:17" ht="14.5" customHeight="1" x14ac:dyDescent="0.35">
      <c r="B17" s="12"/>
      <c r="C17" s="61" t="s">
        <v>32</v>
      </c>
      <c r="D17" s="81" t="s">
        <v>33</v>
      </c>
      <c r="E17" s="81">
        <v>42405310</v>
      </c>
      <c r="F17" s="181">
        <v>0.5</v>
      </c>
      <c r="G17" s="182">
        <f>+'11'!L16</f>
        <v>8.3006186194019449</v>
      </c>
      <c r="H17" s="182">
        <f>+'11ø'!I16</f>
        <v>3.3970325405995605</v>
      </c>
      <c r="I17" s="182"/>
      <c r="J17" s="182"/>
      <c r="K17" s="182">
        <f t="shared" si="0"/>
        <v>12.197651160001506</v>
      </c>
      <c r="L17" s="123">
        <f>+K17*'Beregning og partsberegning'!D$21</f>
        <v>23507.295706316167</v>
      </c>
      <c r="M17" s="123">
        <f>'Beregning og partsberegning'!$D$25*K17</f>
        <v>8675.5538903031211</v>
      </c>
      <c r="N17" s="123">
        <f t="shared" si="1"/>
        <v>32182.849596619286</v>
      </c>
      <c r="O17" s="123">
        <f>K17*'Beregning og partsberegning'!$D$15</f>
        <v>331310.52258244203</v>
      </c>
      <c r="P17" s="219">
        <f>+'11'!O16+'11ø'!E16</f>
        <v>46309950.00000003</v>
      </c>
      <c r="Q17" s="13"/>
    </row>
    <row r="18" spans="2:17" ht="14.5" customHeight="1" x14ac:dyDescent="0.35">
      <c r="B18" s="12"/>
      <c r="C18" s="61" t="s">
        <v>34</v>
      </c>
      <c r="D18" s="81" t="s">
        <v>35</v>
      </c>
      <c r="E18" s="81">
        <v>36423544</v>
      </c>
      <c r="F18" s="181">
        <v>0.5</v>
      </c>
      <c r="G18" s="182">
        <f>+'12'!L17</f>
        <v>1.164966047697725</v>
      </c>
      <c r="H18" s="182">
        <f>+'12ø'!I17</f>
        <v>0.13028266168223318</v>
      </c>
      <c r="I18" s="182"/>
      <c r="J18" s="182"/>
      <c r="K18" s="182">
        <f t="shared" si="0"/>
        <v>1.7952487093799583</v>
      </c>
      <c r="L18" s="123">
        <f>+K18*'Beregning og partsberegning'!D$21</f>
        <v>3459.8007209915918</v>
      </c>
      <c r="M18" s="123">
        <f>'Beregning og partsberegning'!$D$25*K18</f>
        <v>1276.8668918648623</v>
      </c>
      <c r="N18" s="123">
        <f t="shared" si="1"/>
        <v>4736.6676128564541</v>
      </c>
      <c r="O18" s="123">
        <f>K18*'Beregning og partsberegning'!$D$15</f>
        <v>48762.239571217178</v>
      </c>
      <c r="P18" s="219">
        <f>+'12'!O17+'12ø'!E17</f>
        <v>3755125</v>
      </c>
      <c r="Q18" s="13"/>
    </row>
    <row r="19" spans="2:17" ht="14.5" customHeight="1" x14ac:dyDescent="0.35">
      <c r="B19" s="12"/>
      <c r="C19" s="61" t="s">
        <v>36</v>
      </c>
      <c r="D19" s="81" t="s">
        <v>37</v>
      </c>
      <c r="E19" s="81">
        <v>40075267</v>
      </c>
      <c r="F19" s="181">
        <v>0.5</v>
      </c>
      <c r="G19" s="182">
        <f>+'13'!L19</f>
        <v>50.789896494795862</v>
      </c>
      <c r="H19" s="182">
        <f>+'13ø'!I19</f>
        <v>7.6901915498385494</v>
      </c>
      <c r="I19" s="182">
        <f>+'13e_str3'!L14</f>
        <v>0.11274426867439304</v>
      </c>
      <c r="J19" s="182">
        <f>+'13ie_str3'!I18</f>
        <v>8.5630000000000012E-2</v>
      </c>
      <c r="K19" s="182">
        <f t="shared" si="0"/>
        <v>59.178462313308806</v>
      </c>
      <c r="L19" s="123">
        <f>+K19*'Beregning og partsberegning'!D$21</f>
        <v>114048.6471367382</v>
      </c>
      <c r="M19" s="123">
        <f>'Beregning og partsberegning'!$D$25*K19</f>
        <v>42090.557617186314</v>
      </c>
      <c r="N19" s="123">
        <f t="shared" si="1"/>
        <v>156139.20475392451</v>
      </c>
      <c r="O19" s="123">
        <f>K19*'Beregning og partsberegning'!$D$15</f>
        <v>1607395.3105775877</v>
      </c>
      <c r="P19" s="219">
        <f>+'13'!O19+'13ø'!E19</f>
        <v>192404924.99999976</v>
      </c>
      <c r="Q19" s="13"/>
    </row>
    <row r="20" spans="2:17" ht="14.5" customHeight="1" x14ac:dyDescent="0.35">
      <c r="B20" s="12"/>
      <c r="C20" s="61" t="s">
        <v>38</v>
      </c>
      <c r="D20" s="81" t="s">
        <v>39</v>
      </c>
      <c r="E20" s="81">
        <v>17414003</v>
      </c>
      <c r="F20" s="181">
        <v>0.5</v>
      </c>
      <c r="G20" s="182">
        <f>+'14'!L30</f>
        <v>19.461196853882395</v>
      </c>
      <c r="H20" s="182">
        <f>+'14ø'!I24</f>
        <v>6.8519930633883463</v>
      </c>
      <c r="I20" s="182">
        <f>+'14e_str3'!L14</f>
        <v>1.4261060823957363</v>
      </c>
      <c r="J20" s="182">
        <f>+'14ie_str3'!I15</f>
        <v>0.10732999999999999</v>
      </c>
      <c r="K20" s="182">
        <f t="shared" si="0"/>
        <v>28.346625999666479</v>
      </c>
      <c r="L20" s="123">
        <f>+K20*'Beregning og partsberegning'!D$21</f>
        <v>54629.57670371906</v>
      </c>
      <c r="M20" s="123">
        <f>'Beregning og partsberegning'!$D$25*K20</f>
        <v>20161.478488153763</v>
      </c>
      <c r="N20" s="123">
        <f t="shared" si="1"/>
        <v>74791.055191872816</v>
      </c>
      <c r="O20" s="123">
        <f>K20*'Beregning og partsberegning'!$D$15</f>
        <v>769946.22572870657</v>
      </c>
      <c r="P20" s="219">
        <f>+'14'!O30+'14ø'!E24</f>
        <v>196357500.00000137</v>
      </c>
      <c r="Q20" s="13"/>
    </row>
    <row r="21" spans="2:17" ht="14.5" customHeight="1" thickBot="1" x14ac:dyDescent="0.4">
      <c r="B21" s="12"/>
      <c r="C21" s="127" t="s">
        <v>40</v>
      </c>
      <c r="D21" s="136" t="s">
        <v>41</v>
      </c>
      <c r="E21" s="136">
        <v>25587987</v>
      </c>
      <c r="F21" s="183">
        <v>0.5</v>
      </c>
      <c r="G21" s="184">
        <f>+'15'!L20</f>
        <v>26.522528586324572</v>
      </c>
      <c r="H21" s="185">
        <f>+'15ø'!I19</f>
        <v>6.9485069310408774</v>
      </c>
      <c r="I21" s="185">
        <f>+'15e_str3'!L15</f>
        <v>0.13535233905760935</v>
      </c>
      <c r="J21" s="185">
        <f>+'15ie_str3'!I19</f>
        <v>0.15343499999999999</v>
      </c>
      <c r="K21" s="182">
        <f t="shared" si="0"/>
        <v>34.259822856423064</v>
      </c>
      <c r="L21" s="123">
        <f>+K21*'Beregning og partsberegning'!D$21</f>
        <v>66025.48114942541</v>
      </c>
      <c r="M21" s="123">
        <f>'Beregning og partsberegning'!$D$25*K21</f>
        <v>24367.227391925204</v>
      </c>
      <c r="N21" s="124">
        <f t="shared" si="1"/>
        <v>90392.708541350614</v>
      </c>
      <c r="O21" s="123">
        <f>K21*'Beregning og partsberegning'!$D$15</f>
        <v>930559.47126643488</v>
      </c>
      <c r="P21" s="219">
        <f>+'15'!O20+'15ø'!E19</f>
        <v>64629050</v>
      </c>
      <c r="Q21" s="13"/>
    </row>
    <row r="22" spans="2:17" s="122" customFormat="1" x14ac:dyDescent="0.35">
      <c r="B22" s="131"/>
      <c r="C22" s="239" t="s">
        <v>42</v>
      </c>
      <c r="D22" s="240"/>
      <c r="E22" s="240"/>
      <c r="F22" s="240"/>
      <c r="G22" s="240"/>
      <c r="H22" s="240"/>
      <c r="I22" s="240"/>
      <c r="J22" s="241"/>
      <c r="K22" s="186">
        <f>+SUM(K7:K21)</f>
        <v>251.86223270539304</v>
      </c>
      <c r="L22" s="125">
        <f>SUM(L7:L21)</f>
        <v>485388.53126686381</v>
      </c>
      <c r="M22" s="125">
        <f>SUM(M7:M21)</f>
        <v>179136.48653380843</v>
      </c>
      <c r="N22" s="125">
        <f>SUM(N7:N21)</f>
        <v>664525.01780067221</v>
      </c>
      <c r="O22" s="125">
        <f>SUM(O7:O21)</f>
        <v>6841039.0526690613</v>
      </c>
      <c r="P22" s="220">
        <f>SUM(P7:P21)</f>
        <v>1144670000.000001</v>
      </c>
      <c r="Q22" s="132"/>
    </row>
    <row r="23" spans="2:17" ht="6" customHeight="1" thickBot="1" x14ac:dyDescent="0.4">
      <c r="B23" s="17"/>
      <c r="C23" s="18"/>
      <c r="D23" s="18"/>
      <c r="E23" s="18"/>
      <c r="F23" s="18"/>
      <c r="G23" s="18"/>
      <c r="H23" s="18"/>
      <c r="I23" s="18"/>
      <c r="J23" s="18"/>
      <c r="K23" s="18"/>
      <c r="L23" s="18"/>
      <c r="M23" s="18"/>
      <c r="N23" s="18"/>
      <c r="O23" s="18"/>
      <c r="P23" s="18"/>
      <c r="Q23" s="19"/>
    </row>
    <row r="24" spans="2:17" x14ac:dyDescent="0.35">
      <c r="F24" t="s">
        <v>43</v>
      </c>
    </row>
    <row r="26" spans="2:17" x14ac:dyDescent="0.35">
      <c r="K26" t="s">
        <v>43</v>
      </c>
    </row>
    <row r="46" spans="6:6" x14ac:dyDescent="0.35">
      <c r="F46" t="s">
        <v>44</v>
      </c>
    </row>
  </sheetData>
  <mergeCells count="3">
    <mergeCell ref="C3:P3"/>
    <mergeCell ref="C4:P4"/>
    <mergeCell ref="C22:J22"/>
  </mergeCells>
  <pageMargins left="0.7" right="0.7" top="0.75" bottom="0.75" header="0.3" footer="0.3"/>
  <pageSetup paperSize="8" scale="7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30D7B-D59A-454B-B07F-BB92B672630E}">
  <sheetPr>
    <pageSetUpPr fitToPage="1"/>
  </sheetPr>
  <dimension ref="B1:J18"/>
  <sheetViews>
    <sheetView showGridLines="0" zoomScale="107" zoomScaleNormal="107" workbookViewId="0">
      <selection activeCell="C7" sqref="C7"/>
    </sheetView>
  </sheetViews>
  <sheetFormatPr defaultRowHeight="14.5" x14ac:dyDescent="0.35"/>
  <cols>
    <col min="1" max="1" width="0.81640625" customWidth="1"/>
    <col min="2" max="2" width="1.1796875" customWidth="1"/>
    <col min="3" max="3" width="45.7265625" customWidth="1"/>
    <col min="4" max="4" width="31.54296875" customWidth="1"/>
    <col min="5" max="6" width="15.7265625" customWidth="1"/>
    <col min="7" max="9" width="25.7265625" customWidth="1"/>
    <col min="10" max="10" width="1" customWidth="1"/>
  </cols>
  <sheetData>
    <row r="1" spans="2:10" ht="6.65" customHeight="1" thickBot="1" x14ac:dyDescent="0.4"/>
    <row r="2" spans="2:10" ht="6" customHeight="1" x14ac:dyDescent="0.35">
      <c r="B2" s="9" t="s">
        <v>43</v>
      </c>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20</v>
      </c>
      <c r="D7" s="7"/>
      <c r="E7" s="77">
        <v>21536849</v>
      </c>
      <c r="F7" s="31"/>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40"/>
      <c r="D10" s="3"/>
      <c r="E10" s="3"/>
      <c r="F10" s="3"/>
      <c r="G10" s="3"/>
      <c r="H10" s="3"/>
      <c r="I10" s="3"/>
      <c r="J10" s="13"/>
    </row>
    <row r="11" spans="2:10" x14ac:dyDescent="0.35">
      <c r="B11" s="12"/>
      <c r="C11" s="5" t="s">
        <v>112</v>
      </c>
      <c r="D11" s="3"/>
      <c r="E11" s="3"/>
      <c r="F11" s="3"/>
      <c r="G11" s="33"/>
      <c r="H11" s="33"/>
      <c r="I11" s="33"/>
      <c r="J11" s="13"/>
    </row>
    <row r="12" spans="2:10" x14ac:dyDescent="0.35">
      <c r="B12" s="12"/>
      <c r="C12" s="1"/>
      <c r="D12" s="26" t="s">
        <v>123</v>
      </c>
      <c r="E12" s="77">
        <v>35</v>
      </c>
      <c r="F12" s="27" t="s">
        <v>43</v>
      </c>
      <c r="G12" s="52">
        <f>+'Beregning og partsberegning'!H34</f>
        <v>4.9153994220801052E-3</v>
      </c>
      <c r="H12" s="52"/>
      <c r="I12" s="52">
        <f>+G12*E12</f>
        <v>0.17203897977280369</v>
      </c>
      <c r="J12" s="13"/>
    </row>
    <row r="13" spans="2:10" x14ac:dyDescent="0.35">
      <c r="B13" s="12"/>
      <c r="C13" s="1"/>
      <c r="D13" s="26" t="s">
        <v>120</v>
      </c>
      <c r="E13" s="77">
        <v>12</v>
      </c>
      <c r="F13" s="27" t="s">
        <v>43</v>
      </c>
      <c r="G13" s="52">
        <f>+G12</f>
        <v>4.9153994220801052E-3</v>
      </c>
      <c r="H13" s="52"/>
      <c r="I13" s="52">
        <f>+G13*E13</f>
        <v>5.8984793064961266E-2</v>
      </c>
      <c r="J13" s="13"/>
    </row>
    <row r="14" spans="2:10" x14ac:dyDescent="0.35">
      <c r="B14" s="12"/>
      <c r="C14" s="5" t="s">
        <v>129</v>
      </c>
      <c r="D14" s="3"/>
      <c r="E14" s="21"/>
      <c r="F14" s="21"/>
      <c r="G14" s="53"/>
      <c r="H14" s="53"/>
      <c r="I14" s="53"/>
      <c r="J14" s="13"/>
    </row>
    <row r="15" spans="2:10" x14ac:dyDescent="0.35">
      <c r="B15" s="12"/>
      <c r="C15" s="1"/>
      <c r="D15" s="26" t="s">
        <v>155</v>
      </c>
      <c r="E15" s="77">
        <v>2819</v>
      </c>
      <c r="F15" s="84">
        <v>21195.8</v>
      </c>
      <c r="G15" s="52"/>
      <c r="H15" s="52">
        <f>+G13</f>
        <v>4.9153994220801052E-3</v>
      </c>
      <c r="I15" s="52">
        <f>+H15*(F15/20)</f>
        <v>5.2092911535262747</v>
      </c>
      <c r="J15" s="13"/>
    </row>
    <row r="16" spans="2:10" x14ac:dyDescent="0.35">
      <c r="B16" s="12"/>
      <c r="G16" s="54"/>
      <c r="J16" s="13"/>
    </row>
    <row r="17" spans="2:10" ht="15" thickBot="1" x14ac:dyDescent="0.4">
      <c r="B17" s="12"/>
      <c r="D17" s="179" t="s">
        <v>131</v>
      </c>
      <c r="E17" s="178">
        <f>40000*(SUM(E12:E13))+(F15/20)*35000</f>
        <v>38972650</v>
      </c>
      <c r="F17" s="2" t="s">
        <v>54</v>
      </c>
      <c r="H17" s="71" t="s">
        <v>42</v>
      </c>
      <c r="I17" s="71">
        <f>SUM(I12:I15)</f>
        <v>5.4403149263640396</v>
      </c>
      <c r="J17" s="13"/>
    </row>
    <row r="18" spans="2:10" ht="9" customHeight="1" thickTop="1" thickBot="1" x14ac:dyDescent="0.4">
      <c r="B18" s="17"/>
      <c r="C18" s="18"/>
      <c r="D18" s="18"/>
      <c r="E18" s="18"/>
      <c r="F18" s="18"/>
      <c r="G18" s="18"/>
      <c r="H18" s="18"/>
      <c r="I18" s="18"/>
      <c r="J18" s="19"/>
    </row>
  </sheetData>
  <mergeCells count="6">
    <mergeCell ref="C4:F4"/>
    <mergeCell ref="G4:I4"/>
    <mergeCell ref="C3:I3"/>
    <mergeCell ref="C5:F5"/>
    <mergeCell ref="C8:F8"/>
    <mergeCell ref="G5:I8"/>
  </mergeCells>
  <pageMargins left="0.7" right="0.7" top="0.75" bottom="0.75" header="0.3" footer="0.3"/>
  <pageSetup paperSize="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628B5-241D-483D-A11E-55C6B707C776}">
  <sheetPr>
    <pageSetUpPr fitToPage="1"/>
  </sheetPr>
  <dimension ref="B1:AA22"/>
  <sheetViews>
    <sheetView showGridLines="0" zoomScaleNormal="100" zoomScaleSheetLayoutView="40" workbookViewId="0">
      <selection activeCell="C7" sqref="C7"/>
    </sheetView>
  </sheetViews>
  <sheetFormatPr defaultRowHeight="14.5" x14ac:dyDescent="0.35"/>
  <cols>
    <col min="1" max="1" width="1.81640625" customWidth="1"/>
    <col min="2" max="2" width="1.54296875" customWidth="1"/>
    <col min="3" max="3" width="48.1796875" customWidth="1"/>
    <col min="4" max="4" width="18.453125" customWidth="1"/>
    <col min="5" max="5" width="18.1796875" customWidth="1"/>
    <col min="6" max="6" width="19" customWidth="1"/>
    <col min="7" max="7" width="35.7265625" customWidth="1"/>
    <col min="8" max="8" width="25.7265625" customWidth="1"/>
    <col min="9" max="9" width="63.26953125" customWidth="1"/>
    <col min="10" max="13" width="25.7265625" customWidth="1"/>
    <col min="14" max="14" width="35.81640625" customWidth="1"/>
    <col min="15" max="22" width="25.7265625" customWidth="1"/>
    <col min="23" max="23" width="1.54296875" customWidth="1"/>
    <col min="24" max="24" width="2.54296875" customWidth="1"/>
    <col min="25" max="25" width="16" bestFit="1" customWidth="1"/>
  </cols>
  <sheetData>
    <row r="1" spans="2:27" ht="8.5" customHeight="1" thickBot="1" x14ac:dyDescent="0.4"/>
    <row r="2" spans="2:27" ht="6" customHeight="1" x14ac:dyDescent="0.35">
      <c r="B2" s="9"/>
      <c r="C2" s="10" t="s">
        <v>43</v>
      </c>
      <c r="D2" s="10"/>
      <c r="E2" s="10"/>
      <c r="F2" s="10"/>
      <c r="G2" s="10"/>
      <c r="H2" s="10"/>
      <c r="I2" s="10"/>
      <c r="J2" s="10"/>
      <c r="K2" s="10"/>
      <c r="L2" s="10"/>
      <c r="M2" s="10"/>
      <c r="N2" s="10"/>
      <c r="O2" s="10"/>
      <c r="P2" s="10"/>
      <c r="Q2" s="10"/>
      <c r="R2" s="10"/>
      <c r="S2" s="10"/>
      <c r="T2" s="10"/>
      <c r="U2" s="10"/>
      <c r="V2" s="10"/>
      <c r="W2" s="11"/>
    </row>
    <row r="3" spans="2:27"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7" s="8" customFormat="1" ht="21" x14ac:dyDescent="0.5">
      <c r="B4" s="14"/>
      <c r="C4" s="273" t="s">
        <v>134</v>
      </c>
      <c r="D4" s="274"/>
      <c r="E4" s="274"/>
      <c r="F4" s="275"/>
      <c r="G4" s="308" t="s">
        <v>135</v>
      </c>
      <c r="H4" s="309"/>
      <c r="I4" s="310"/>
      <c r="J4" s="303" t="s">
        <v>92</v>
      </c>
      <c r="K4" s="304"/>
      <c r="L4" s="305"/>
      <c r="M4" s="146" t="s">
        <v>93</v>
      </c>
      <c r="N4" s="147"/>
      <c r="O4" s="147"/>
      <c r="P4" s="147"/>
      <c r="Q4" s="147"/>
      <c r="R4" s="147"/>
      <c r="S4" s="147"/>
      <c r="T4" s="147"/>
      <c r="U4" s="147"/>
      <c r="V4" s="148"/>
      <c r="W4" s="13"/>
      <c r="X4"/>
      <c r="Y4"/>
      <c r="Z4"/>
      <c r="AA4"/>
    </row>
    <row r="5" spans="2:27" x14ac:dyDescent="0.35">
      <c r="B5" s="12"/>
      <c r="C5" s="99"/>
      <c r="G5" s="288" t="s">
        <v>43</v>
      </c>
      <c r="H5" s="289"/>
      <c r="I5" s="290"/>
      <c r="J5" s="279" t="s">
        <v>43</v>
      </c>
      <c r="K5" s="280"/>
      <c r="L5" s="281"/>
      <c r="M5" s="297"/>
      <c r="N5" s="297"/>
      <c r="O5" s="297"/>
      <c r="P5" s="297"/>
      <c r="Q5" s="297"/>
      <c r="R5" s="297"/>
      <c r="S5" s="297"/>
      <c r="T5" s="297"/>
      <c r="U5" s="297"/>
      <c r="V5" s="298"/>
      <c r="W5" s="13"/>
    </row>
    <row r="6" spans="2:27" x14ac:dyDescent="0.35">
      <c r="B6" s="12"/>
      <c r="C6" s="6" t="s">
        <v>94</v>
      </c>
      <c r="D6" s="6" t="s">
        <v>43</v>
      </c>
      <c r="E6" s="6" t="s">
        <v>95</v>
      </c>
      <c r="F6" s="141" t="s">
        <v>43</v>
      </c>
      <c r="G6" s="291"/>
      <c r="H6" s="292"/>
      <c r="I6" s="293"/>
      <c r="J6" s="282"/>
      <c r="K6" s="283"/>
      <c r="L6" s="284"/>
      <c r="M6" s="299"/>
      <c r="N6" s="299"/>
      <c r="O6" s="299"/>
      <c r="P6" s="299"/>
      <c r="Q6" s="299"/>
      <c r="R6" s="299"/>
      <c r="S6" s="299"/>
      <c r="T6" s="299"/>
      <c r="U6" s="299"/>
      <c r="V6" s="300"/>
      <c r="W6" s="13"/>
    </row>
    <row r="7" spans="2:27" ht="35.25" customHeight="1" x14ac:dyDescent="0.35">
      <c r="B7" s="12"/>
      <c r="C7" s="25" t="s">
        <v>20</v>
      </c>
      <c r="D7" s="7"/>
      <c r="E7" s="25">
        <v>21536849</v>
      </c>
      <c r="F7" s="142"/>
      <c r="G7" s="291"/>
      <c r="H7" s="292"/>
      <c r="I7" s="293"/>
      <c r="J7" s="282"/>
      <c r="K7" s="283"/>
      <c r="L7" s="284"/>
      <c r="M7" s="299"/>
      <c r="N7" s="299"/>
      <c r="O7" s="299"/>
      <c r="P7" s="299"/>
      <c r="Q7" s="299"/>
      <c r="R7" s="299"/>
      <c r="S7" s="299"/>
      <c r="T7" s="299"/>
      <c r="U7" s="299"/>
      <c r="V7" s="300"/>
      <c r="W7" s="13"/>
    </row>
    <row r="8" spans="2:27" ht="49.9" customHeight="1" x14ac:dyDescent="0.35">
      <c r="B8" s="12"/>
      <c r="C8" s="311" t="s">
        <v>136</v>
      </c>
      <c r="D8" s="312"/>
      <c r="E8" s="312"/>
      <c r="F8" s="312"/>
      <c r="G8" s="294"/>
      <c r="H8" s="295"/>
      <c r="I8" s="296"/>
      <c r="J8" s="285"/>
      <c r="K8" s="286"/>
      <c r="L8" s="287"/>
      <c r="M8" s="301"/>
      <c r="N8" s="301"/>
      <c r="O8" s="301"/>
      <c r="P8" s="301"/>
      <c r="Q8" s="301"/>
      <c r="R8" s="301"/>
      <c r="S8" s="301"/>
      <c r="T8" s="301"/>
      <c r="U8" s="301"/>
      <c r="V8" s="302"/>
      <c r="W8" s="13"/>
    </row>
    <row r="9" spans="2:27" s="2" customFormat="1" ht="160.15" customHeight="1" x14ac:dyDescent="0.35">
      <c r="B9" s="15"/>
      <c r="C9" s="45" t="s">
        <v>97</v>
      </c>
      <c r="D9" s="45" t="s">
        <v>98</v>
      </c>
      <c r="E9" s="45" t="s">
        <v>99</v>
      </c>
      <c r="F9" s="45" t="s">
        <v>100</v>
      </c>
      <c r="G9" s="306" t="s">
        <v>156</v>
      </c>
      <c r="H9" s="307"/>
      <c r="I9" s="143" t="s">
        <v>157</v>
      </c>
      <c r="J9" s="153" t="s">
        <v>103</v>
      </c>
      <c r="K9" s="154" t="s">
        <v>104</v>
      </c>
      <c r="L9" s="153" t="s">
        <v>105</v>
      </c>
      <c r="M9" s="276" t="s">
        <v>106</v>
      </c>
      <c r="N9" s="277"/>
      <c r="O9" s="277"/>
      <c r="P9" s="277"/>
      <c r="Q9" s="277"/>
      <c r="R9" s="277"/>
      <c r="S9" s="277"/>
      <c r="T9" s="277"/>
      <c r="U9" s="277"/>
      <c r="V9" s="278"/>
      <c r="W9" s="13"/>
      <c r="X9"/>
      <c r="Y9"/>
      <c r="Z9"/>
      <c r="AA9"/>
    </row>
    <row r="10" spans="2:27" s="2" customFormat="1" ht="15.65" customHeight="1" x14ac:dyDescent="0.35">
      <c r="B10" s="15"/>
      <c r="C10" s="3"/>
      <c r="D10" s="3"/>
      <c r="E10" s="3"/>
      <c r="F10" s="3"/>
      <c r="G10" s="3"/>
      <c r="H10" s="3"/>
      <c r="I10" s="3"/>
      <c r="J10" s="3"/>
      <c r="K10" s="3"/>
      <c r="L10" s="3"/>
      <c r="M10" s="162"/>
      <c r="N10" s="162"/>
      <c r="O10" s="162"/>
      <c r="P10" s="162"/>
      <c r="Q10" s="162"/>
      <c r="R10" s="30" t="s">
        <v>115</v>
      </c>
      <c r="S10" s="30" t="s">
        <v>115</v>
      </c>
      <c r="T10" s="30" t="s">
        <v>115</v>
      </c>
      <c r="U10" s="30" t="s">
        <v>115</v>
      </c>
      <c r="V10" s="30" t="s">
        <v>115</v>
      </c>
      <c r="W10" s="16"/>
    </row>
    <row r="11" spans="2:27" s="2" customFormat="1" x14ac:dyDescent="0.35">
      <c r="B11" s="15"/>
      <c r="C11" s="5" t="s">
        <v>112</v>
      </c>
      <c r="D11" s="3"/>
      <c r="E11" s="3"/>
      <c r="F11" s="80"/>
      <c r="G11" s="151" t="s">
        <v>139</v>
      </c>
      <c r="H11" s="151" t="s">
        <v>140</v>
      </c>
      <c r="I11" s="151" t="s">
        <v>113</v>
      </c>
      <c r="J11" s="60"/>
      <c r="K11" s="60"/>
      <c r="L11" s="60"/>
      <c r="M11" s="30" t="s">
        <v>107</v>
      </c>
      <c r="N11" s="30" t="s">
        <v>108</v>
      </c>
      <c r="O11" s="30" t="s">
        <v>109</v>
      </c>
      <c r="P11" s="30" t="s">
        <v>110</v>
      </c>
      <c r="Q11" s="30" t="s">
        <v>111</v>
      </c>
      <c r="R11" s="37" t="s">
        <v>107</v>
      </c>
      <c r="S11" s="37" t="s">
        <v>108</v>
      </c>
      <c r="T11" s="37" t="s">
        <v>109</v>
      </c>
      <c r="U11" s="37" t="s">
        <v>110</v>
      </c>
      <c r="V11" s="37" t="s">
        <v>111</v>
      </c>
      <c r="W11" s="16"/>
    </row>
    <row r="12" spans="2:27" s="2" customFormat="1" x14ac:dyDescent="0.35">
      <c r="B12" s="15"/>
      <c r="C12" s="1"/>
      <c r="D12" s="26" t="s">
        <v>120</v>
      </c>
      <c r="E12" s="26">
        <v>1</v>
      </c>
      <c r="F12" s="161">
        <v>0</v>
      </c>
      <c r="G12" s="20" t="s">
        <v>117</v>
      </c>
      <c r="H12" s="1"/>
      <c r="I12" s="20" t="s">
        <v>117</v>
      </c>
      <c r="J12" s="34"/>
      <c r="K12" s="34">
        <f>+'Beregning og partsberegning'!F46</f>
        <v>3.3838084764402337E-2</v>
      </c>
      <c r="L12" s="34">
        <f>+K12*E12</f>
        <v>3.3838084764402337E-2</v>
      </c>
      <c r="M12" s="30"/>
      <c r="N12" s="30"/>
      <c r="O12" s="30"/>
      <c r="P12" s="30"/>
      <c r="Q12" s="32" t="s">
        <v>117</v>
      </c>
      <c r="R12" s="30"/>
      <c r="S12" s="30"/>
      <c r="T12" s="30"/>
      <c r="U12" s="30"/>
      <c r="V12" s="165" t="s">
        <v>43</v>
      </c>
      <c r="W12" s="16"/>
      <c r="Y12" s="2" t="s">
        <v>43</v>
      </c>
    </row>
    <row r="13" spans="2:27" s="2" customFormat="1" x14ac:dyDescent="0.35">
      <c r="B13" s="15"/>
      <c r="C13" s="5" t="s">
        <v>129</v>
      </c>
      <c r="D13" s="3"/>
      <c r="E13" s="21"/>
      <c r="F13" s="166"/>
      <c r="G13" s="21"/>
      <c r="H13" s="3"/>
      <c r="I13" s="21"/>
      <c r="J13" s="60"/>
      <c r="K13" s="60"/>
      <c r="L13" s="60"/>
      <c r="M13" s="33"/>
      <c r="N13" s="3"/>
      <c r="O13" s="33"/>
      <c r="P13" s="33"/>
      <c r="Q13" s="33"/>
      <c r="R13" s="33"/>
      <c r="S13" s="33"/>
      <c r="T13" s="33"/>
      <c r="U13" s="3"/>
      <c r="V13" s="3"/>
      <c r="W13" s="16"/>
    </row>
    <row r="14" spans="2:27" s="2" customFormat="1" ht="25.5" customHeight="1" x14ac:dyDescent="0.35">
      <c r="B14" s="15"/>
      <c r="C14" s="1"/>
      <c r="D14" s="26" t="s">
        <v>155</v>
      </c>
      <c r="E14" s="26">
        <v>37</v>
      </c>
      <c r="F14" s="161">
        <v>814.7</v>
      </c>
      <c r="G14" s="20" t="s">
        <v>117</v>
      </c>
      <c r="H14" s="1"/>
      <c r="I14" s="20"/>
      <c r="J14" s="34"/>
      <c r="K14" s="34">
        <f>+'Beregning og partsberegning'!F45</f>
        <v>1.2689281786650877E-2</v>
      </c>
      <c r="L14" s="34">
        <f>+K14*F14/20</f>
        <v>0.51689789357922344</v>
      </c>
      <c r="M14" s="30"/>
      <c r="N14" s="1"/>
      <c r="O14" s="30"/>
      <c r="P14" s="30"/>
      <c r="Q14" s="30"/>
      <c r="R14" s="30"/>
      <c r="S14" s="30"/>
      <c r="T14" s="30"/>
      <c r="U14" s="32" t="s">
        <v>117</v>
      </c>
      <c r="V14" s="1"/>
      <c r="W14" s="16"/>
      <c r="Y14" s="175" t="s">
        <v>43</v>
      </c>
    </row>
    <row r="15" spans="2:27" s="2" customFormat="1" ht="27" customHeight="1" x14ac:dyDescent="0.35">
      <c r="B15" s="15"/>
      <c r="C15" s="1"/>
      <c r="D15" s="26" t="s">
        <v>158</v>
      </c>
      <c r="E15" s="26">
        <v>1</v>
      </c>
      <c r="F15" s="174"/>
      <c r="G15" s="167" t="s">
        <v>117</v>
      </c>
      <c r="H15" s="167"/>
      <c r="I15" s="167"/>
      <c r="J15" s="168"/>
      <c r="K15" s="168">
        <f>+K14</f>
        <v>1.2689281786650877E-2</v>
      </c>
      <c r="L15" s="168">
        <f>+K15*E15</f>
        <v>1.2689281786650877E-2</v>
      </c>
      <c r="M15" s="169"/>
      <c r="N15" s="32" t="s">
        <v>117</v>
      </c>
      <c r="O15" s="169"/>
      <c r="P15" s="169"/>
      <c r="Q15" s="169"/>
      <c r="R15" s="169"/>
      <c r="S15" s="169"/>
      <c r="T15" s="169"/>
      <c r="U15" s="163"/>
      <c r="V15" s="163"/>
      <c r="W15" s="16"/>
      <c r="Y15" s="2" t="s">
        <v>43</v>
      </c>
    </row>
    <row r="16" spans="2:27" s="2" customFormat="1" ht="27" customHeight="1" x14ac:dyDescent="0.35">
      <c r="B16" s="15"/>
      <c r="D16" s="67"/>
      <c r="E16" s="67"/>
      <c r="F16" s="64"/>
      <c r="G16" s="64"/>
      <c r="H16" s="64"/>
      <c r="I16" s="64"/>
      <c r="J16" s="75"/>
      <c r="K16" s="75"/>
      <c r="L16" s="75"/>
      <c r="M16" s="72"/>
      <c r="N16" s="170"/>
      <c r="O16" s="72"/>
      <c r="P16" s="72"/>
      <c r="Q16" s="72"/>
      <c r="R16" s="72"/>
      <c r="S16" s="72"/>
      <c r="T16" s="72"/>
      <c r="U16" s="63"/>
      <c r="V16" s="63"/>
      <c r="W16" s="16"/>
      <c r="Y16" s="175" t="s">
        <v>43</v>
      </c>
    </row>
    <row r="17" spans="2:23" s="2" customFormat="1" ht="15" thickBot="1" x14ac:dyDescent="0.4">
      <c r="B17" s="15"/>
      <c r="C17" s="63"/>
      <c r="D17" s="67"/>
      <c r="E17" s="67"/>
      <c r="F17" s="64"/>
      <c r="G17" s="65"/>
      <c r="H17" s="65"/>
      <c r="I17" s="65"/>
      <c r="J17" s="74"/>
      <c r="K17" s="120" t="s">
        <v>42</v>
      </c>
      <c r="L17" s="69">
        <f>+SUM(L11:L12)</f>
        <v>3.3838084764402337E-2</v>
      </c>
      <c r="M17"/>
      <c r="N17" s="179" t="s">
        <v>131</v>
      </c>
      <c r="O17" s="178">
        <f>40000+(35000*(F14/20))+15000</f>
        <v>1480725</v>
      </c>
      <c r="P17" s="2" t="s">
        <v>54</v>
      </c>
      <c r="W17" s="16"/>
    </row>
    <row r="18" spans="2:23" ht="9" customHeight="1" thickTop="1" thickBot="1" x14ac:dyDescent="0.4">
      <c r="B18" s="17"/>
      <c r="C18" s="18"/>
      <c r="D18" s="18"/>
      <c r="E18" s="18"/>
      <c r="F18" s="18"/>
      <c r="G18" s="22"/>
      <c r="H18" s="22"/>
      <c r="I18" s="22"/>
      <c r="J18" s="18"/>
      <c r="K18" s="18"/>
      <c r="L18" s="18"/>
      <c r="M18" s="18"/>
      <c r="N18" s="18"/>
      <c r="O18" s="18"/>
      <c r="P18" s="18"/>
      <c r="Q18" s="18"/>
      <c r="R18" s="18"/>
      <c r="S18" s="18"/>
      <c r="T18" s="18"/>
      <c r="U18" s="18"/>
      <c r="V18" s="18"/>
      <c r="W18" s="19"/>
    </row>
    <row r="19" spans="2:23" ht="9" customHeight="1" x14ac:dyDescent="0.35">
      <c r="G19" s="23"/>
      <c r="H19" s="23"/>
      <c r="I19" s="23"/>
    </row>
    <row r="20" spans="2:23" x14ac:dyDescent="0.35">
      <c r="G20" s="23"/>
      <c r="H20" s="23"/>
      <c r="I20" s="23"/>
      <c r="N20" t="s">
        <v>43</v>
      </c>
    </row>
    <row r="21" spans="2:23" x14ac:dyDescent="0.35">
      <c r="M21" t="s">
        <v>43</v>
      </c>
    </row>
    <row r="22" spans="2:23" x14ac:dyDescent="0.35">
      <c r="R22" t="s">
        <v>43</v>
      </c>
    </row>
  </sheetData>
  <mergeCells count="10">
    <mergeCell ref="G9:H9"/>
    <mergeCell ref="M9:V9"/>
    <mergeCell ref="C3:V3"/>
    <mergeCell ref="C4:F4"/>
    <mergeCell ref="G4:I4"/>
    <mergeCell ref="J4:L4"/>
    <mergeCell ref="G5:I8"/>
    <mergeCell ref="J5:L8"/>
    <mergeCell ref="M5:V8"/>
    <mergeCell ref="C8:F8"/>
  </mergeCells>
  <pageMargins left="0.7" right="0.7" top="0.75" bottom="0.75" header="0.3" footer="0.3"/>
  <pageSetup paperSize="8" scale="3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19D10-D246-42C1-8FC5-471701167997}">
  <sheetPr>
    <pageSetUpPr fitToPage="1"/>
  </sheetPr>
  <dimension ref="B1:J18"/>
  <sheetViews>
    <sheetView showGridLines="0" zoomScale="98" zoomScaleNormal="98" workbookViewId="0">
      <selection activeCell="C7" sqref="C7"/>
    </sheetView>
  </sheetViews>
  <sheetFormatPr defaultRowHeight="14.5" x14ac:dyDescent="0.35"/>
  <cols>
    <col min="1" max="1" width="1.26953125" customWidth="1"/>
    <col min="2" max="2" width="1.7265625" customWidth="1"/>
    <col min="3" max="3" width="61.81640625" customWidth="1"/>
    <col min="4" max="4" width="25.7265625" customWidth="1"/>
    <col min="5" max="6" width="15.7265625" customWidth="1"/>
    <col min="7" max="9" width="25.7265625" customWidth="1"/>
    <col min="10" max="10" width="1.7265625" customWidth="1"/>
  </cols>
  <sheetData>
    <row r="1" spans="2:10" ht="7.15" customHeight="1" thickBot="1" x14ac:dyDescent="0.4"/>
    <row r="2" spans="2:10" ht="6" customHeight="1" x14ac:dyDescent="0.35">
      <c r="B2" s="9" t="s">
        <v>43</v>
      </c>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141</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20</v>
      </c>
      <c r="D7" s="7"/>
      <c r="E7" s="25">
        <v>21536849</v>
      </c>
      <c r="F7" s="31"/>
      <c r="G7" s="282"/>
      <c r="H7" s="283"/>
      <c r="I7" s="284"/>
      <c r="J7" s="13"/>
    </row>
    <row r="8" spans="2:10" ht="49.9" customHeight="1" x14ac:dyDescent="0.35">
      <c r="B8" s="12"/>
      <c r="C8" s="311" t="s">
        <v>159</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3"/>
      <c r="D10" s="3"/>
      <c r="E10" s="3"/>
      <c r="F10" s="3"/>
      <c r="G10" s="3"/>
      <c r="H10" s="3"/>
      <c r="I10" s="3"/>
      <c r="J10" s="13"/>
    </row>
    <row r="11" spans="2:10" x14ac:dyDescent="0.35">
      <c r="B11" s="12"/>
      <c r="C11" s="5" t="s">
        <v>112</v>
      </c>
      <c r="D11" s="3"/>
      <c r="E11" s="3"/>
      <c r="F11" s="3"/>
      <c r="G11" s="3"/>
      <c r="H11" s="3"/>
      <c r="I11" s="3"/>
      <c r="J11" s="13"/>
    </row>
    <row r="12" spans="2:10" ht="30" customHeight="1" x14ac:dyDescent="0.35">
      <c r="B12" s="12"/>
      <c r="C12" s="1"/>
      <c r="D12" s="26" t="s">
        <v>123</v>
      </c>
      <c r="E12" s="26">
        <v>1</v>
      </c>
      <c r="F12" s="27" t="s">
        <v>43</v>
      </c>
      <c r="G12" s="34">
        <f>+'Beregning og partsberegning'!H45</f>
        <v>1E-3</v>
      </c>
      <c r="H12" s="34"/>
      <c r="I12" s="34">
        <f t="shared" ref="I12" si="0">+G12*E12</f>
        <v>1E-3</v>
      </c>
      <c r="J12" s="13"/>
    </row>
    <row r="13" spans="2:10" x14ac:dyDescent="0.35">
      <c r="B13" s="12"/>
      <c r="C13" s="5" t="s">
        <v>129</v>
      </c>
      <c r="D13" s="3"/>
      <c r="E13" s="21"/>
      <c r="F13" s="87"/>
      <c r="G13" s="60"/>
      <c r="H13" s="60"/>
      <c r="I13" s="60"/>
      <c r="J13" s="13"/>
    </row>
    <row r="14" spans="2:10" x14ac:dyDescent="0.35">
      <c r="B14" s="12"/>
      <c r="C14" s="1"/>
      <c r="D14" s="26" t="s">
        <v>155</v>
      </c>
      <c r="E14" s="26">
        <v>52</v>
      </c>
      <c r="F14" s="161">
        <v>1285.7</v>
      </c>
      <c r="G14" s="36"/>
      <c r="H14" s="34">
        <f>+G12</f>
        <v>1E-3</v>
      </c>
      <c r="I14" s="34">
        <f>+H14*(F14/20)</f>
        <v>6.4284999999999995E-2</v>
      </c>
      <c r="J14" s="13"/>
    </row>
    <row r="15" spans="2:10" x14ac:dyDescent="0.35">
      <c r="B15" s="12"/>
      <c r="C15" s="2"/>
      <c r="D15" s="67"/>
      <c r="E15" s="67"/>
      <c r="H15" s="75"/>
      <c r="I15" s="75"/>
      <c r="J15" s="13"/>
    </row>
    <row r="16" spans="2:10" ht="15" thickBot="1" x14ac:dyDescent="0.4">
      <c r="B16" s="12"/>
      <c r="H16" s="120" t="s">
        <v>42</v>
      </c>
      <c r="I16" s="68">
        <f>+SUM(I12:I14)</f>
        <v>6.5284999999999996E-2</v>
      </c>
      <c r="J16" s="13"/>
    </row>
    <row r="17" spans="2:10" ht="9" customHeight="1" thickTop="1" thickBot="1" x14ac:dyDescent="0.4">
      <c r="B17" s="17"/>
      <c r="C17" s="18"/>
      <c r="D17" s="18"/>
      <c r="E17" s="18"/>
      <c r="F17" s="18"/>
      <c r="G17" s="18"/>
      <c r="H17" s="18"/>
      <c r="I17" s="18"/>
      <c r="J17" s="19"/>
    </row>
    <row r="18" spans="2:10" ht="9" customHeight="1" x14ac:dyDescent="0.35"/>
  </sheetData>
  <mergeCells count="6">
    <mergeCell ref="C3:I3"/>
    <mergeCell ref="C4:F4"/>
    <mergeCell ref="G4:I4"/>
    <mergeCell ref="C5:F5"/>
    <mergeCell ref="G5:I8"/>
    <mergeCell ref="C8:F8"/>
  </mergeCells>
  <pageMargins left="0.7" right="0.7" top="0.75" bottom="0.75" header="0.3" footer="0.3"/>
  <pageSetup paperSize="8" scale="9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C8F3C-655D-4A99-966F-5A3DAE88EE65}">
  <sheetPr>
    <pageSetUpPr fitToPage="1"/>
  </sheetPr>
  <dimension ref="B1:CW40"/>
  <sheetViews>
    <sheetView showGridLines="0" zoomScaleNormal="100" workbookViewId="0">
      <selection activeCell="C7" sqref="C7"/>
    </sheetView>
  </sheetViews>
  <sheetFormatPr defaultRowHeight="14.5" x14ac:dyDescent="0.35"/>
  <cols>
    <col min="1" max="1" width="1.26953125" customWidth="1"/>
    <col min="2" max="2" width="1.1796875" customWidth="1"/>
    <col min="3" max="3" width="45.7265625" customWidth="1"/>
    <col min="4" max="4" width="15.453125" customWidth="1"/>
    <col min="5" max="6" width="15.54296875" customWidth="1"/>
    <col min="7" max="7" width="35.7265625" customWidth="1"/>
    <col min="8" max="8" width="25.7265625" customWidth="1"/>
    <col min="9" max="9" width="52.26953125" customWidth="1"/>
    <col min="10" max="13" width="25.7265625" customWidth="1"/>
    <col min="14" max="14" width="34.26953125" customWidth="1"/>
    <col min="15" max="22" width="25.7265625" customWidth="1"/>
    <col min="23" max="23" width="1.7265625" customWidth="1"/>
  </cols>
  <sheetData>
    <row r="1" spans="2:23" ht="9"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22</v>
      </c>
      <c r="D7" s="7"/>
      <c r="E7" s="25">
        <v>40318941</v>
      </c>
      <c r="F7" s="31"/>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160</v>
      </c>
      <c r="H9" s="307"/>
      <c r="I9" s="143" t="s">
        <v>161</v>
      </c>
      <c r="J9" s="144" t="s">
        <v>103</v>
      </c>
      <c r="K9" s="145" t="s">
        <v>104</v>
      </c>
      <c r="L9" s="144" t="s">
        <v>105</v>
      </c>
      <c r="M9" s="276" t="s">
        <v>106</v>
      </c>
      <c r="N9" s="277"/>
      <c r="O9" s="277"/>
      <c r="P9" s="277"/>
      <c r="Q9" s="277"/>
      <c r="R9" s="277"/>
      <c r="S9" s="277"/>
      <c r="T9" s="277"/>
      <c r="U9" s="277"/>
      <c r="V9" s="278"/>
      <c r="W9" s="13"/>
    </row>
    <row r="10" spans="2:23" x14ac:dyDescent="0.35">
      <c r="B10" s="12"/>
      <c r="C10" s="3"/>
      <c r="D10" s="3"/>
      <c r="E10" s="3"/>
      <c r="F10" s="3"/>
      <c r="G10" s="3"/>
      <c r="H10" s="3"/>
      <c r="I10" s="3"/>
      <c r="J10" s="3"/>
      <c r="K10" s="3"/>
      <c r="L10" s="3"/>
      <c r="M10" s="33"/>
      <c r="N10" s="33"/>
      <c r="O10" s="33"/>
      <c r="P10" s="33"/>
      <c r="Q10" s="33"/>
      <c r="R10" s="30" t="s">
        <v>107</v>
      </c>
      <c r="S10" s="30" t="s">
        <v>108</v>
      </c>
      <c r="T10" s="30" t="s">
        <v>109</v>
      </c>
      <c r="U10" s="30" t="s">
        <v>110</v>
      </c>
      <c r="V10" s="30" t="s">
        <v>114</v>
      </c>
      <c r="W10" s="13"/>
    </row>
    <row r="11" spans="2:23" x14ac:dyDescent="0.35">
      <c r="B11" s="12"/>
      <c r="C11" s="5" t="s">
        <v>112</v>
      </c>
      <c r="D11" s="3"/>
      <c r="E11" s="3"/>
      <c r="F11" s="3"/>
      <c r="G11" s="151" t="s">
        <v>78</v>
      </c>
      <c r="H11" s="151" t="s">
        <v>79</v>
      </c>
      <c r="I11" s="151" t="s">
        <v>113</v>
      </c>
      <c r="J11" s="3"/>
      <c r="K11" s="3"/>
      <c r="L11" s="3"/>
      <c r="M11" s="30" t="s">
        <v>107</v>
      </c>
      <c r="N11" s="30" t="s">
        <v>108</v>
      </c>
      <c r="O11" s="30" t="s">
        <v>109</v>
      </c>
      <c r="P11" s="30" t="s">
        <v>110</v>
      </c>
      <c r="Q11" s="30" t="s">
        <v>114</v>
      </c>
      <c r="R11" s="30" t="s">
        <v>162</v>
      </c>
      <c r="S11" s="30" t="s">
        <v>162</v>
      </c>
      <c r="T11" s="30" t="s">
        <v>162</v>
      </c>
      <c r="U11" s="30" t="s">
        <v>162</v>
      </c>
      <c r="V11" s="30" t="s">
        <v>162</v>
      </c>
      <c r="W11" s="13"/>
    </row>
    <row r="12" spans="2:23" x14ac:dyDescent="0.35">
      <c r="B12" s="12"/>
      <c r="C12" s="1"/>
      <c r="D12" s="26" t="s">
        <v>163</v>
      </c>
      <c r="E12" s="88">
        <v>11</v>
      </c>
      <c r="F12" s="86" t="s">
        <v>43</v>
      </c>
      <c r="G12" s="30" t="s">
        <v>43</v>
      </c>
      <c r="H12" s="37" t="s">
        <v>117</v>
      </c>
      <c r="I12" s="30"/>
      <c r="J12" s="52">
        <f>+'Beregning og partsberegning'!H$34</f>
        <v>4.9153994220801052E-3</v>
      </c>
      <c r="K12" s="52"/>
      <c r="L12" s="52">
        <f t="shared" ref="L12:L19" si="0">+J12*E12</f>
        <v>5.4069393642881158E-2</v>
      </c>
      <c r="M12" s="30"/>
      <c r="N12" s="30"/>
      <c r="O12" s="30"/>
      <c r="P12" s="32" t="s">
        <v>117</v>
      </c>
      <c r="Q12" s="30"/>
      <c r="R12" s="30"/>
      <c r="S12" s="30"/>
      <c r="T12" s="30"/>
      <c r="U12" s="30"/>
      <c r="V12" s="30"/>
      <c r="W12" s="13"/>
    </row>
    <row r="13" spans="2:23" x14ac:dyDescent="0.35">
      <c r="B13" s="12"/>
      <c r="C13" s="1"/>
      <c r="D13" s="26" t="s">
        <v>164</v>
      </c>
      <c r="E13" s="88">
        <v>146</v>
      </c>
      <c r="F13" s="86" t="s">
        <v>43</v>
      </c>
      <c r="G13" s="30"/>
      <c r="H13" s="37" t="s">
        <v>117</v>
      </c>
      <c r="I13" s="30"/>
      <c r="J13" s="52">
        <f>+'Beregning og partsberegning'!H$34</f>
        <v>4.9153994220801052E-3</v>
      </c>
      <c r="K13" s="52"/>
      <c r="L13" s="52">
        <f t="shared" si="0"/>
        <v>0.71764831562369535</v>
      </c>
      <c r="M13" s="30"/>
      <c r="N13" s="30"/>
      <c r="O13" s="30"/>
      <c r="P13" s="32" t="s">
        <v>117</v>
      </c>
      <c r="Q13" s="30"/>
      <c r="R13" s="30"/>
      <c r="S13" s="30"/>
      <c r="T13" s="30"/>
      <c r="U13" s="30"/>
      <c r="V13" s="30"/>
      <c r="W13" s="13"/>
    </row>
    <row r="14" spans="2:23" x14ac:dyDescent="0.35">
      <c r="B14" s="12"/>
      <c r="C14" s="1"/>
      <c r="D14" s="26" t="s">
        <v>165</v>
      </c>
      <c r="E14" s="88">
        <v>13</v>
      </c>
      <c r="F14" s="86" t="s">
        <v>43</v>
      </c>
      <c r="G14" s="30"/>
      <c r="H14" s="37" t="s">
        <v>117</v>
      </c>
      <c r="I14" s="30"/>
      <c r="J14" s="52">
        <f>+'Beregning og partsberegning'!H$34</f>
        <v>4.9153994220801052E-3</v>
      </c>
      <c r="K14" s="52"/>
      <c r="L14" s="52">
        <f t="shared" si="0"/>
        <v>6.3900192487041374E-2</v>
      </c>
      <c r="M14" s="30"/>
      <c r="N14" s="30"/>
      <c r="O14" s="30"/>
      <c r="P14" s="32" t="s">
        <v>117</v>
      </c>
      <c r="Q14" s="30"/>
      <c r="R14" s="30"/>
      <c r="S14" s="30"/>
      <c r="T14" s="30"/>
      <c r="U14" s="30"/>
      <c r="V14" s="30"/>
      <c r="W14" s="13"/>
    </row>
    <row r="15" spans="2:23" x14ac:dyDescent="0.35">
      <c r="B15" s="12"/>
      <c r="C15" s="1"/>
      <c r="D15" s="26" t="s">
        <v>126</v>
      </c>
      <c r="E15" s="88">
        <v>9</v>
      </c>
      <c r="F15" s="86" t="s">
        <v>43</v>
      </c>
      <c r="G15" s="30"/>
      <c r="H15" s="37" t="s">
        <v>117</v>
      </c>
      <c r="I15" s="30"/>
      <c r="J15" s="52">
        <f>+'Beregning og partsberegning'!H$34</f>
        <v>4.9153994220801052E-3</v>
      </c>
      <c r="K15" s="52"/>
      <c r="L15" s="52">
        <f t="shared" si="0"/>
        <v>4.423859479872095E-2</v>
      </c>
      <c r="M15" s="30"/>
      <c r="N15" s="30"/>
      <c r="O15" s="30"/>
      <c r="P15" s="32" t="s">
        <v>117</v>
      </c>
      <c r="Q15" s="30"/>
      <c r="R15" s="30"/>
      <c r="S15" s="30"/>
      <c r="T15" s="30"/>
      <c r="U15" s="30"/>
      <c r="V15" s="30"/>
      <c r="W15" s="13"/>
    </row>
    <row r="16" spans="2:23" x14ac:dyDescent="0.35">
      <c r="B16" s="12"/>
      <c r="C16" s="1"/>
      <c r="D16" s="26" t="s">
        <v>116</v>
      </c>
      <c r="E16" s="88">
        <v>8</v>
      </c>
      <c r="F16" s="86" t="s">
        <v>43</v>
      </c>
      <c r="G16" s="30"/>
      <c r="H16" s="37" t="s">
        <v>117</v>
      </c>
      <c r="I16" s="30"/>
      <c r="J16" s="52">
        <f>+'Beregning og partsberegning'!H$34</f>
        <v>4.9153994220801052E-3</v>
      </c>
      <c r="K16" s="52"/>
      <c r="L16" s="52">
        <f t="shared" si="0"/>
        <v>3.9323195376640842E-2</v>
      </c>
      <c r="M16" s="30"/>
      <c r="N16" s="30"/>
      <c r="O16" s="30"/>
      <c r="P16" s="32" t="s">
        <v>117</v>
      </c>
      <c r="Q16" s="30"/>
      <c r="R16" s="30"/>
      <c r="S16" s="30"/>
      <c r="T16" s="30"/>
      <c r="U16" s="30"/>
      <c r="V16" s="30"/>
      <c r="W16" s="13"/>
    </row>
    <row r="17" spans="2:101" x14ac:dyDescent="0.35">
      <c r="B17" s="12"/>
      <c r="C17" s="1"/>
      <c r="D17" s="26" t="s">
        <v>166</v>
      </c>
      <c r="E17" s="88">
        <v>6</v>
      </c>
      <c r="F17" s="86" t="s">
        <v>43</v>
      </c>
      <c r="G17" s="30"/>
      <c r="H17" s="37" t="s">
        <v>117</v>
      </c>
      <c r="I17" s="30"/>
      <c r="J17" s="52">
        <f>+'Beregning og partsberegning'!H$34</f>
        <v>4.9153994220801052E-3</v>
      </c>
      <c r="K17" s="52"/>
      <c r="L17" s="52">
        <f t="shared" si="0"/>
        <v>2.9492396532480633E-2</v>
      </c>
      <c r="M17" s="30"/>
      <c r="N17" s="30"/>
      <c r="O17" s="30"/>
      <c r="P17" s="30"/>
      <c r="Q17" s="32" t="s">
        <v>117</v>
      </c>
      <c r="R17" s="30"/>
      <c r="S17" s="30"/>
      <c r="T17" s="30"/>
      <c r="U17" s="30"/>
      <c r="V17" s="30"/>
      <c r="W17" s="13"/>
    </row>
    <row r="18" spans="2:101" x14ac:dyDescent="0.35">
      <c r="B18" s="12"/>
      <c r="C18" s="1"/>
      <c r="D18" s="26" t="s">
        <v>167</v>
      </c>
      <c r="E18" s="88">
        <v>9</v>
      </c>
      <c r="F18" s="86" t="s">
        <v>43</v>
      </c>
      <c r="G18" s="30"/>
      <c r="H18" s="37" t="s">
        <v>117</v>
      </c>
      <c r="I18" s="30"/>
      <c r="J18" s="52">
        <f>+'Beregning og partsberegning'!H$34</f>
        <v>4.9153994220801052E-3</v>
      </c>
      <c r="K18" s="52"/>
      <c r="L18" s="52">
        <f t="shared" si="0"/>
        <v>4.423859479872095E-2</v>
      </c>
      <c r="M18" s="30"/>
      <c r="N18" s="30"/>
      <c r="O18" s="30"/>
      <c r="P18" s="32" t="s">
        <v>117</v>
      </c>
      <c r="Q18" s="30"/>
      <c r="R18" s="30"/>
      <c r="S18" s="30"/>
      <c r="T18" s="30"/>
      <c r="U18" s="30"/>
      <c r="V18" s="30"/>
      <c r="W18" s="13"/>
    </row>
    <row r="19" spans="2:101" ht="29" x14ac:dyDescent="0.35">
      <c r="B19" s="12"/>
      <c r="C19" s="1"/>
      <c r="D19" s="26" t="s">
        <v>125</v>
      </c>
      <c r="E19" s="88">
        <v>72</v>
      </c>
      <c r="F19" s="86" t="s">
        <v>43</v>
      </c>
      <c r="G19" s="30"/>
      <c r="H19" s="37" t="s">
        <v>117</v>
      </c>
      <c r="I19" s="30"/>
      <c r="J19" s="52">
        <f>+'Beregning og partsberegning'!H$34</f>
        <v>4.9153994220801052E-3</v>
      </c>
      <c r="K19" s="52"/>
      <c r="L19" s="52">
        <f t="shared" si="0"/>
        <v>0.3539087583897676</v>
      </c>
      <c r="M19" s="30"/>
      <c r="N19" s="30"/>
      <c r="O19" s="30"/>
      <c r="P19" s="30"/>
      <c r="Q19" s="32" t="s">
        <v>117</v>
      </c>
      <c r="R19" s="30"/>
      <c r="S19" s="30"/>
      <c r="T19" s="30"/>
      <c r="U19" s="30"/>
      <c r="V19" s="30"/>
      <c r="W19" s="13"/>
    </row>
    <row r="20" spans="2:101" x14ac:dyDescent="0.35">
      <c r="B20" s="12"/>
      <c r="C20" s="1"/>
      <c r="D20" s="26" t="s">
        <v>124</v>
      </c>
      <c r="E20" s="88">
        <v>13</v>
      </c>
      <c r="F20" s="92">
        <v>5149.2999999999984</v>
      </c>
      <c r="G20" s="30"/>
      <c r="H20" s="37" t="s">
        <v>117</v>
      </c>
      <c r="I20" s="30"/>
      <c r="J20" s="52"/>
      <c r="K20" s="52">
        <f>+J19</f>
        <v>4.9153994220801052E-3</v>
      </c>
      <c r="L20" s="52">
        <f>+K20*(F20/20)</f>
        <v>1.2655433122058539</v>
      </c>
      <c r="M20" s="30"/>
      <c r="N20" s="30"/>
      <c r="O20" s="30"/>
      <c r="Q20" s="30"/>
      <c r="R20" s="30"/>
      <c r="S20" s="30"/>
      <c r="T20" s="30"/>
      <c r="U20" s="32" t="s">
        <v>117</v>
      </c>
      <c r="V20" s="30"/>
      <c r="W20" s="13"/>
    </row>
    <row r="21" spans="2:101" x14ac:dyDescent="0.35">
      <c r="B21" s="12"/>
      <c r="C21" s="1"/>
      <c r="D21" s="26" t="s">
        <v>168</v>
      </c>
      <c r="E21" s="88">
        <v>7</v>
      </c>
      <c r="F21" s="92">
        <v>240.8</v>
      </c>
      <c r="G21" s="39" t="s">
        <v>43</v>
      </c>
      <c r="H21" s="37" t="s">
        <v>117</v>
      </c>
      <c r="I21" s="39" t="s">
        <v>43</v>
      </c>
      <c r="J21" s="52"/>
      <c r="K21" s="52">
        <f>+K20</f>
        <v>4.9153994220801052E-3</v>
      </c>
      <c r="L21" s="52">
        <f>+K21*(F21/20)</f>
        <v>5.918140904184447E-2</v>
      </c>
      <c r="M21" s="30"/>
      <c r="N21" s="30"/>
      <c r="O21" s="30"/>
      <c r="P21" s="30"/>
      <c r="Q21" s="30"/>
      <c r="R21" s="30"/>
      <c r="S21" s="30"/>
      <c r="T21" s="30"/>
      <c r="U21" s="30"/>
      <c r="V21" s="32" t="s">
        <v>117</v>
      </c>
      <c r="W21" s="13"/>
    </row>
    <row r="22" spans="2:101" x14ac:dyDescent="0.35">
      <c r="B22" s="12"/>
      <c r="C22" s="5" t="s">
        <v>129</v>
      </c>
      <c r="D22" s="3"/>
      <c r="E22" s="89"/>
      <c r="F22" s="87"/>
      <c r="G22" s="33" t="s">
        <v>43</v>
      </c>
      <c r="H22" s="46"/>
      <c r="I22" s="33"/>
      <c r="J22" s="53"/>
      <c r="K22" s="53"/>
      <c r="L22" s="53" t="s">
        <v>43</v>
      </c>
      <c r="M22" s="33"/>
      <c r="N22" s="33"/>
      <c r="O22" s="33"/>
      <c r="P22" s="33"/>
      <c r="Q22" s="33"/>
      <c r="R22" s="33"/>
      <c r="S22" s="33"/>
      <c r="T22" s="33"/>
      <c r="U22" s="33"/>
      <c r="V22" s="33"/>
      <c r="W22" s="13"/>
    </row>
    <row r="23" spans="2:101" x14ac:dyDescent="0.35">
      <c r="B23" s="12"/>
      <c r="C23" s="1"/>
      <c r="D23" s="26" t="s">
        <v>152</v>
      </c>
      <c r="E23" s="88">
        <v>137</v>
      </c>
      <c r="F23" s="92">
        <v>1095.7</v>
      </c>
      <c r="G23" s="30"/>
      <c r="H23" s="37" t="s">
        <v>117</v>
      </c>
      <c r="I23" s="30"/>
      <c r="J23" s="52"/>
      <c r="K23" s="52">
        <f>+K21</f>
        <v>4.9153994220801052E-3</v>
      </c>
      <c r="L23" s="52">
        <f>+K23*(F23/20)</f>
        <v>0.26929015733865858</v>
      </c>
      <c r="M23" s="30"/>
      <c r="N23" s="30"/>
      <c r="O23" s="30"/>
      <c r="P23" s="30"/>
      <c r="Q23" s="30"/>
      <c r="R23" s="30"/>
      <c r="S23" s="30"/>
      <c r="T23" s="30"/>
      <c r="U23" s="30"/>
      <c r="V23" s="32" t="s">
        <v>117</v>
      </c>
      <c r="W23" s="13"/>
    </row>
    <row r="24" spans="2:101" s="72" customFormat="1" x14ac:dyDescent="0.35">
      <c r="B24" s="90"/>
      <c r="C24"/>
      <c r="D24"/>
      <c r="E24"/>
      <c r="F24"/>
      <c r="G24"/>
      <c r="H24"/>
      <c r="I24"/>
      <c r="J24"/>
      <c r="K24"/>
      <c r="L24"/>
      <c r="M24"/>
      <c r="N24"/>
      <c r="O24"/>
      <c r="P24"/>
      <c r="Q24"/>
      <c r="R24"/>
      <c r="S24"/>
      <c r="T24"/>
      <c r="U24"/>
      <c r="V24"/>
      <c r="W24" s="13"/>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row>
    <row r="25" spans="2:101" s="72" customFormat="1" ht="15" thickBot="1" x14ac:dyDescent="0.4">
      <c r="B25" s="90"/>
      <c r="C25"/>
      <c r="D25"/>
      <c r="E25"/>
      <c r="F25"/>
      <c r="G25"/>
      <c r="H25"/>
      <c r="I25"/>
      <c r="J25"/>
      <c r="K25" s="70" t="s">
        <v>42</v>
      </c>
      <c r="L25" s="73">
        <f>+SUM(L12:L23)</f>
        <v>2.9408343202363056</v>
      </c>
      <c r="M25"/>
      <c r="N25" s="179" t="s">
        <v>131</v>
      </c>
      <c r="O25" s="178">
        <f>35000*(SUM(E12:E16))+E17*40000+E18*35000+40000*E19+40000*((SUM(F21:F23)/20))+(F20/20)*35000</f>
        <v>21664274.999999996</v>
      </c>
      <c r="P25" s="2" t="s">
        <v>54</v>
      </c>
      <c r="Q25"/>
      <c r="R25"/>
      <c r="S25"/>
      <c r="T25"/>
      <c r="U25"/>
      <c r="V25"/>
      <c r="W25" s="13"/>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row>
    <row r="26" spans="2:101" s="72" customFormat="1" ht="9" customHeight="1" thickTop="1" thickBot="1" x14ac:dyDescent="0.4">
      <c r="B26" s="91"/>
      <c r="C26" s="18"/>
      <c r="D26" s="18"/>
      <c r="E26" s="18"/>
      <c r="F26" s="18"/>
      <c r="G26" s="18"/>
      <c r="H26" s="18"/>
      <c r="I26" s="18"/>
      <c r="J26" s="18"/>
      <c r="K26" s="18"/>
      <c r="L26" s="18"/>
      <c r="M26" s="18"/>
      <c r="N26" s="18"/>
      <c r="O26" s="18"/>
      <c r="P26" s="18"/>
      <c r="Q26" s="18"/>
      <c r="R26" s="18"/>
      <c r="S26" s="18"/>
      <c r="T26" s="18"/>
      <c r="U26" s="18"/>
      <c r="V26" s="18"/>
      <c r="W26" s="19"/>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row>
    <row r="27" spans="2:101" s="72" customFormat="1" x14ac:dyDescent="0.35">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row>
    <row r="28" spans="2:101" s="72" customFormat="1" x14ac:dyDescent="0.35">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row>
    <row r="29" spans="2:101" s="72" customFormat="1" x14ac:dyDescent="0.35">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row>
    <row r="30" spans="2:101" s="72" customFormat="1" x14ac:dyDescent="0.35">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row>
    <row r="31" spans="2:101" s="72" customFormat="1" x14ac:dyDescent="0.35">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row>
    <row r="32" spans="2:101" s="72" customFormat="1" x14ac:dyDescent="0.35">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row>
    <row r="33" spans="3:101" s="72" customFormat="1" x14ac:dyDescent="0.35">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row>
    <row r="34" spans="3:101" s="72" customFormat="1" x14ac:dyDescent="0.35">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row>
    <row r="35" spans="3:101" s="72" customFormat="1" x14ac:dyDescent="0.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row>
    <row r="36" spans="3:101" s="72" customFormat="1" x14ac:dyDescent="0.35">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row>
    <row r="37" spans="3:101" s="72" customFormat="1" x14ac:dyDescent="0.35">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row>
    <row r="38" spans="3:101" s="72" customFormat="1" x14ac:dyDescent="0.35">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row>
    <row r="39" spans="3:101" s="72" customFormat="1" x14ac:dyDescent="0.35">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row>
    <row r="40" spans="3:101" s="72" customFormat="1" x14ac:dyDescent="0.35">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row>
  </sheetData>
  <mergeCells count="10">
    <mergeCell ref="C4:F4"/>
    <mergeCell ref="G4:I4"/>
    <mergeCell ref="J4:L4"/>
    <mergeCell ref="C3:V3"/>
    <mergeCell ref="G9:H9"/>
    <mergeCell ref="M5:V8"/>
    <mergeCell ref="M9:V9"/>
    <mergeCell ref="J5:L8"/>
    <mergeCell ref="G5:I8"/>
    <mergeCell ref="C8:F8"/>
  </mergeCells>
  <pageMargins left="0.7" right="0.7" top="0.75" bottom="0.75" header="0.3" footer="0.3"/>
  <pageSetup paperSize="8" scale="3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E8D5D-7894-47C5-A900-4E63634A9CF7}">
  <sheetPr>
    <pageSetUpPr fitToPage="1"/>
  </sheetPr>
  <dimension ref="A1:J27"/>
  <sheetViews>
    <sheetView showGridLines="0" zoomScale="106" zoomScaleNormal="106" workbookViewId="0">
      <selection activeCell="C7" sqref="C7"/>
    </sheetView>
  </sheetViews>
  <sheetFormatPr defaultRowHeight="14.5" x14ac:dyDescent="0.35"/>
  <cols>
    <col min="1" max="1" width="1.26953125" customWidth="1"/>
    <col min="2" max="2" width="1.453125" customWidth="1"/>
    <col min="3" max="3" width="45.7265625" customWidth="1"/>
    <col min="4" max="4" width="33.81640625" customWidth="1"/>
    <col min="5" max="6" width="15.7265625" customWidth="1"/>
    <col min="7" max="9" width="25.7265625" customWidth="1"/>
    <col min="10" max="10" width="2" customWidth="1"/>
  </cols>
  <sheetData>
    <row r="1" spans="1:10" ht="6" customHeight="1" thickBot="1" x14ac:dyDescent="0.4"/>
    <row r="2" spans="1:10" ht="4.9000000000000004" customHeight="1" x14ac:dyDescent="0.35">
      <c r="B2" s="9"/>
      <c r="C2" s="10"/>
      <c r="D2" s="10"/>
      <c r="E2" s="10"/>
      <c r="F2" s="10"/>
      <c r="G2" s="10"/>
      <c r="H2" s="10"/>
      <c r="I2" s="10"/>
      <c r="J2" s="11"/>
    </row>
    <row r="3" spans="1:10" ht="21" x14ac:dyDescent="0.5">
      <c r="B3" s="12"/>
      <c r="C3" s="273" t="str">
        <f>Overs!C3</f>
        <v>BogenseKystdiger_BidragsfordelingForsyning_2026_Feb_Version3</v>
      </c>
      <c r="D3" s="274"/>
      <c r="E3" s="274"/>
      <c r="F3" s="274"/>
      <c r="G3" s="274"/>
      <c r="H3" s="274"/>
      <c r="I3" s="275"/>
      <c r="J3" s="13"/>
    </row>
    <row r="4" spans="1:10" ht="21" x14ac:dyDescent="0.5">
      <c r="B4" s="12"/>
      <c r="C4" s="313" t="s">
        <v>132</v>
      </c>
      <c r="D4" s="313"/>
      <c r="E4" s="313"/>
      <c r="F4" s="313"/>
      <c r="G4" s="303" t="s">
        <v>92</v>
      </c>
      <c r="H4" s="304"/>
      <c r="I4" s="305"/>
      <c r="J4" s="13"/>
    </row>
    <row r="5" spans="1:10" x14ac:dyDescent="0.35">
      <c r="B5" s="12"/>
      <c r="C5" s="264"/>
      <c r="D5" s="265"/>
      <c r="E5" s="265"/>
      <c r="F5" s="314"/>
      <c r="G5" s="279" t="s">
        <v>43</v>
      </c>
      <c r="H5" s="280"/>
      <c r="I5" s="281"/>
      <c r="J5" s="13"/>
    </row>
    <row r="6" spans="1:10" x14ac:dyDescent="0.35">
      <c r="B6" s="12"/>
      <c r="C6" s="6" t="s">
        <v>94</v>
      </c>
      <c r="D6" s="6" t="s">
        <v>43</v>
      </c>
      <c r="E6" s="6" t="s">
        <v>95</v>
      </c>
      <c r="F6" s="6"/>
      <c r="G6" s="282"/>
      <c r="H6" s="283"/>
      <c r="I6" s="284"/>
      <c r="J6" s="13"/>
    </row>
    <row r="7" spans="1:10" x14ac:dyDescent="0.35">
      <c r="B7" s="12"/>
      <c r="C7" s="25" t="s">
        <v>22</v>
      </c>
      <c r="D7" s="7"/>
      <c r="E7" s="25">
        <v>40318941</v>
      </c>
      <c r="F7" s="24"/>
      <c r="G7" s="282"/>
      <c r="H7" s="283"/>
      <c r="I7" s="284"/>
      <c r="J7" s="13"/>
    </row>
    <row r="8" spans="1:10" ht="49.9" customHeight="1" x14ac:dyDescent="0.35">
      <c r="A8" t="s">
        <v>43</v>
      </c>
      <c r="B8" s="12"/>
      <c r="C8" s="311" t="s">
        <v>96</v>
      </c>
      <c r="D8" s="312"/>
      <c r="E8" s="312"/>
      <c r="F8" s="312"/>
      <c r="G8" s="285"/>
      <c r="H8" s="286"/>
      <c r="I8" s="287"/>
      <c r="J8" s="13"/>
    </row>
    <row r="9" spans="1:10" ht="30" customHeight="1" x14ac:dyDescent="0.35">
      <c r="B9" s="12"/>
      <c r="C9" s="4" t="s">
        <v>97</v>
      </c>
      <c r="D9" s="4" t="s">
        <v>98</v>
      </c>
      <c r="E9" s="4" t="s">
        <v>99</v>
      </c>
      <c r="F9" s="4" t="s">
        <v>100</v>
      </c>
      <c r="G9" s="144" t="s">
        <v>103</v>
      </c>
      <c r="H9" s="145" t="s">
        <v>104</v>
      </c>
      <c r="I9" s="144" t="s">
        <v>105</v>
      </c>
      <c r="J9" s="13"/>
    </row>
    <row r="10" spans="1:10" x14ac:dyDescent="0.35">
      <c r="B10" s="12"/>
      <c r="C10" s="40"/>
      <c r="D10" s="3"/>
      <c r="E10" s="3"/>
      <c r="F10" s="3"/>
      <c r="G10" s="3"/>
      <c r="H10" s="3"/>
      <c r="I10" s="3"/>
      <c r="J10" s="13"/>
    </row>
    <row r="11" spans="1:10" x14ac:dyDescent="0.35">
      <c r="B11" s="12"/>
      <c r="C11" s="5" t="s">
        <v>112</v>
      </c>
      <c r="D11" s="3"/>
      <c r="E11" s="3"/>
      <c r="F11" s="3"/>
      <c r="G11" s="3"/>
      <c r="H11" s="3"/>
      <c r="I11" s="3"/>
      <c r="J11" s="13"/>
    </row>
    <row r="12" spans="1:10" x14ac:dyDescent="0.35">
      <c r="B12" s="12"/>
      <c r="C12" s="1"/>
      <c r="D12" s="26" t="s">
        <v>166</v>
      </c>
      <c r="E12" s="88">
        <v>2</v>
      </c>
      <c r="F12" s="78" t="s">
        <v>43</v>
      </c>
      <c r="G12" s="52">
        <f>+'Beregning og partsberegning'!H$34</f>
        <v>4.9153994220801052E-3</v>
      </c>
      <c r="H12" s="52"/>
      <c r="I12" s="52">
        <f t="shared" ref="I12:I18" si="0">+G12*E12</f>
        <v>9.8307988441602105E-3</v>
      </c>
      <c r="J12" s="13"/>
    </row>
    <row r="13" spans="1:10" x14ac:dyDescent="0.35">
      <c r="B13" s="12"/>
      <c r="C13" s="1"/>
      <c r="D13" s="26" t="s">
        <v>164</v>
      </c>
      <c r="E13" s="88">
        <v>30</v>
      </c>
      <c r="F13" s="78" t="s">
        <v>43</v>
      </c>
      <c r="G13" s="52">
        <f>+'Beregning og partsberegning'!H$34</f>
        <v>4.9153994220801052E-3</v>
      </c>
      <c r="H13" s="52"/>
      <c r="I13" s="52">
        <f t="shared" si="0"/>
        <v>0.14746198266240315</v>
      </c>
      <c r="J13" s="13"/>
    </row>
    <row r="14" spans="1:10" x14ac:dyDescent="0.35">
      <c r="B14" s="12"/>
      <c r="C14" s="1"/>
      <c r="D14" s="26" t="s">
        <v>116</v>
      </c>
      <c r="E14" s="88">
        <v>4</v>
      </c>
      <c r="F14" s="78" t="s">
        <v>43</v>
      </c>
      <c r="G14" s="52">
        <f>+'Beregning og partsberegning'!H$34</f>
        <v>4.9153994220801052E-3</v>
      </c>
      <c r="H14" s="52"/>
      <c r="I14" s="52">
        <f t="shared" si="0"/>
        <v>1.9661597688320421E-2</v>
      </c>
      <c r="J14" s="13"/>
    </row>
    <row r="15" spans="1:10" x14ac:dyDescent="0.35">
      <c r="B15" s="12"/>
      <c r="C15" s="1"/>
      <c r="D15" s="26" t="s">
        <v>163</v>
      </c>
      <c r="E15" s="88">
        <v>3</v>
      </c>
      <c r="F15" s="78" t="s">
        <v>43</v>
      </c>
      <c r="G15" s="52">
        <f>+'Beregning og partsberegning'!H$34</f>
        <v>4.9153994220801052E-3</v>
      </c>
      <c r="H15" s="52"/>
      <c r="I15" s="52">
        <f t="shared" si="0"/>
        <v>1.4746198266240317E-2</v>
      </c>
      <c r="J15" s="13"/>
    </row>
    <row r="16" spans="1:10" x14ac:dyDescent="0.35">
      <c r="B16" s="12"/>
      <c r="C16" s="1"/>
      <c r="D16" s="26" t="s">
        <v>165</v>
      </c>
      <c r="E16" s="88">
        <v>4</v>
      </c>
      <c r="F16" s="78" t="s">
        <v>43</v>
      </c>
      <c r="G16" s="52">
        <f>+'Beregning og partsberegning'!H$34</f>
        <v>4.9153994220801052E-3</v>
      </c>
      <c r="H16" s="52"/>
      <c r="I16" s="52">
        <f t="shared" si="0"/>
        <v>1.9661597688320421E-2</v>
      </c>
      <c r="J16" s="13"/>
    </row>
    <row r="17" spans="2:10" x14ac:dyDescent="0.35">
      <c r="B17" s="12"/>
      <c r="C17" s="1"/>
      <c r="D17" s="26" t="s">
        <v>126</v>
      </c>
      <c r="E17" s="88">
        <v>1</v>
      </c>
      <c r="F17" s="78" t="s">
        <v>43</v>
      </c>
      <c r="G17" s="52">
        <f>+'Beregning og partsberegning'!H$34</f>
        <v>4.9153994220801052E-3</v>
      </c>
      <c r="H17" s="52"/>
      <c r="I17" s="52">
        <f t="shared" si="0"/>
        <v>4.9153994220801052E-3</v>
      </c>
      <c r="J17" s="13"/>
    </row>
    <row r="18" spans="2:10" x14ac:dyDescent="0.35">
      <c r="B18" s="12"/>
      <c r="C18" s="1"/>
      <c r="D18" s="26" t="s">
        <v>167</v>
      </c>
      <c r="E18" s="88">
        <v>2</v>
      </c>
      <c r="F18" s="78" t="s">
        <v>43</v>
      </c>
      <c r="G18" s="52">
        <f>+'Beregning og partsberegning'!H$34</f>
        <v>4.9153994220801052E-3</v>
      </c>
      <c r="H18" s="52"/>
      <c r="I18" s="52">
        <f t="shared" si="0"/>
        <v>9.8307988441602105E-3</v>
      </c>
      <c r="J18" s="13"/>
    </row>
    <row r="19" spans="2:10" x14ac:dyDescent="0.35">
      <c r="B19" s="12"/>
      <c r="C19" s="5" t="s">
        <v>129</v>
      </c>
      <c r="D19" s="3"/>
      <c r="E19" s="89"/>
      <c r="F19" s="85"/>
      <c r="G19" s="53"/>
      <c r="H19" s="53" t="s">
        <v>43</v>
      </c>
      <c r="I19" s="53" t="s">
        <v>43</v>
      </c>
      <c r="J19" s="13"/>
    </row>
    <row r="20" spans="2:10" x14ac:dyDescent="0.35">
      <c r="B20" s="12"/>
      <c r="C20" s="1"/>
      <c r="D20" s="26" t="s">
        <v>152</v>
      </c>
      <c r="E20" s="88">
        <v>20</v>
      </c>
      <c r="F20" s="86">
        <v>366.9</v>
      </c>
      <c r="G20" s="52"/>
      <c r="H20" s="52">
        <f>+G18</f>
        <v>4.9153994220801052E-3</v>
      </c>
      <c r="I20" s="52">
        <f>+H20*(F20/20)</f>
        <v>9.0173002398059518E-2</v>
      </c>
      <c r="J20" s="13"/>
    </row>
    <row r="21" spans="2:10" x14ac:dyDescent="0.35">
      <c r="B21" s="12"/>
      <c r="C21" s="1"/>
      <c r="D21" s="26" t="s">
        <v>169</v>
      </c>
      <c r="E21" s="88">
        <v>26</v>
      </c>
      <c r="F21" s="86">
        <v>1638.8000000000002</v>
      </c>
      <c r="G21" s="34" t="s">
        <v>43</v>
      </c>
      <c r="H21" s="52">
        <f>+H20</f>
        <v>4.9153994220801052E-3</v>
      </c>
      <c r="I21" s="52">
        <f>+H21*(F21/20)</f>
        <v>0.40276782864524391</v>
      </c>
      <c r="J21" s="13"/>
    </row>
    <row r="22" spans="2:10" x14ac:dyDescent="0.35">
      <c r="B22" s="12"/>
      <c r="G22" s="54"/>
      <c r="J22" s="13"/>
    </row>
    <row r="23" spans="2:10" ht="15" thickBot="1" x14ac:dyDescent="0.4">
      <c r="B23" s="12"/>
      <c r="D23" s="179" t="s">
        <v>131</v>
      </c>
      <c r="E23" s="178">
        <f>+E12*40000+(E13+E14)*35000+E15*35000+E16*35000+E17*35000+E18*35000+(SUM(F20:F21)/20)*40000</f>
        <v>5631400</v>
      </c>
      <c r="F23" s="2" t="s">
        <v>54</v>
      </c>
      <c r="H23" s="71" t="s">
        <v>42</v>
      </c>
      <c r="I23" s="93">
        <f>SUM(I12:I21)</f>
        <v>0.71904920445898823</v>
      </c>
      <c r="J23" s="13"/>
    </row>
    <row r="24" spans="2:10" ht="10.15" customHeight="1" thickTop="1" thickBot="1" x14ac:dyDescent="0.4">
      <c r="B24" s="17"/>
      <c r="C24" s="18"/>
      <c r="D24" s="18"/>
      <c r="E24" s="18"/>
      <c r="F24" s="18"/>
      <c r="G24" s="18"/>
      <c r="H24" s="18"/>
      <c r="I24" s="18"/>
      <c r="J24" s="19"/>
    </row>
    <row r="27" spans="2:10" x14ac:dyDescent="0.35">
      <c r="C27" t="s">
        <v>43</v>
      </c>
    </row>
  </sheetData>
  <mergeCells count="6">
    <mergeCell ref="G4:I4"/>
    <mergeCell ref="C4:F4"/>
    <mergeCell ref="C3:I3"/>
    <mergeCell ref="G5:I8"/>
    <mergeCell ref="C8:F8"/>
    <mergeCell ref="C5:F5"/>
  </mergeCells>
  <pageMargins left="0.7" right="0.7" top="0.75" bottom="0.75" header="0.3" footer="0.3"/>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36904-145A-4E30-8086-1EBF17A5CF52}">
  <sheetPr>
    <pageSetUpPr fitToPage="1"/>
  </sheetPr>
  <dimension ref="B1:W20"/>
  <sheetViews>
    <sheetView showGridLines="0" zoomScaleNormal="100" workbookViewId="0">
      <selection activeCell="C7" sqref="C7"/>
    </sheetView>
  </sheetViews>
  <sheetFormatPr defaultRowHeight="14.5" x14ac:dyDescent="0.35"/>
  <cols>
    <col min="1" max="2" width="1.26953125" customWidth="1"/>
    <col min="3" max="3" width="45.7265625" customWidth="1"/>
    <col min="4" max="4" width="15.453125" customWidth="1"/>
    <col min="5" max="6" width="15.54296875" customWidth="1"/>
    <col min="7" max="7" width="35.7265625" customWidth="1"/>
    <col min="8" max="8" width="25.7265625" customWidth="1"/>
    <col min="9" max="9" width="52.453125" customWidth="1"/>
    <col min="10" max="13" width="25.7265625" customWidth="1"/>
    <col min="14" max="14" width="38.54296875" customWidth="1"/>
    <col min="15" max="22" width="25.7265625" customWidth="1"/>
    <col min="23" max="23" width="1.81640625" customWidth="1"/>
  </cols>
  <sheetData>
    <row r="1" spans="2:23" ht="7.15"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23</v>
      </c>
      <c r="D7" s="7"/>
      <c r="E7" s="25">
        <v>42885746</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5" t="s">
        <v>97</v>
      </c>
      <c r="D9" s="45" t="s">
        <v>98</v>
      </c>
      <c r="E9" s="45" t="s">
        <v>99</v>
      </c>
      <c r="F9" s="45" t="s">
        <v>100</v>
      </c>
      <c r="G9" s="306" t="s">
        <v>170</v>
      </c>
      <c r="H9" s="307"/>
      <c r="I9" s="152" t="s">
        <v>171</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x14ac:dyDescent="0.35">
      <c r="B12" s="12"/>
      <c r="C12" s="1"/>
      <c r="D12" s="26" t="s">
        <v>148</v>
      </c>
      <c r="E12" s="77">
        <v>1</v>
      </c>
      <c r="F12" s="27" t="s">
        <v>43</v>
      </c>
      <c r="G12" s="37" t="s">
        <v>117</v>
      </c>
      <c r="H12" s="37"/>
      <c r="I12" s="37"/>
      <c r="J12" s="52">
        <f>+'Beregning og partsberegning'!F34</f>
        <v>2.015313763052843E-2</v>
      </c>
      <c r="K12" s="52"/>
      <c r="L12" s="52">
        <f>+E12*J12</f>
        <v>2.015313763052843E-2</v>
      </c>
      <c r="M12" s="30"/>
      <c r="N12" s="30"/>
      <c r="O12" s="30"/>
      <c r="P12" s="32" t="s">
        <v>117</v>
      </c>
      <c r="Q12" s="30"/>
      <c r="R12" s="30"/>
      <c r="S12" s="30"/>
      <c r="T12" s="30"/>
      <c r="U12" s="30"/>
      <c r="V12" s="30"/>
      <c r="W12" s="13"/>
    </row>
    <row r="13" spans="2:23" x14ac:dyDescent="0.35">
      <c r="B13" s="12"/>
      <c r="C13" s="1"/>
      <c r="D13" s="26" t="s">
        <v>149</v>
      </c>
      <c r="E13" s="77">
        <v>1</v>
      </c>
      <c r="F13" s="27" t="s">
        <v>43</v>
      </c>
      <c r="G13" s="37" t="s">
        <v>117</v>
      </c>
      <c r="H13" s="37"/>
      <c r="I13" s="37" t="s">
        <v>117</v>
      </c>
      <c r="J13" s="52">
        <f>+'Beregning og partsberegning'!F35</f>
        <v>5.3741700348075808E-2</v>
      </c>
      <c r="K13" s="52"/>
      <c r="L13" s="52">
        <f>+E13*J13</f>
        <v>5.3741700348075808E-2</v>
      </c>
      <c r="M13" s="30"/>
      <c r="N13" s="30"/>
      <c r="O13" s="30"/>
      <c r="P13" s="30"/>
      <c r="Q13" s="32" t="s">
        <v>117</v>
      </c>
      <c r="R13" s="30"/>
      <c r="S13" s="30"/>
      <c r="T13" s="30"/>
      <c r="U13" s="30"/>
      <c r="V13" s="30"/>
      <c r="W13" s="13"/>
    </row>
    <row r="14" spans="2:23" x14ac:dyDescent="0.35">
      <c r="B14" s="12"/>
      <c r="C14" s="1"/>
      <c r="D14" s="26" t="s">
        <v>150</v>
      </c>
      <c r="E14" s="77">
        <v>4</v>
      </c>
      <c r="F14" s="27" t="s">
        <v>43</v>
      </c>
      <c r="G14" s="37" t="s">
        <v>117</v>
      </c>
      <c r="H14" s="37"/>
      <c r="I14" s="37" t="s">
        <v>117</v>
      </c>
      <c r="J14" s="52">
        <f>+J13</f>
        <v>5.3741700348075808E-2</v>
      </c>
      <c r="K14" s="52"/>
      <c r="L14" s="52">
        <f>+E14*J14</f>
        <v>0.21496680139230323</v>
      </c>
      <c r="M14" s="30"/>
      <c r="N14" s="30"/>
      <c r="O14" s="30"/>
      <c r="P14" s="30"/>
      <c r="Q14" s="32" t="s">
        <v>117</v>
      </c>
      <c r="R14" s="30"/>
      <c r="S14" s="30"/>
      <c r="T14" s="30"/>
      <c r="U14" s="30"/>
      <c r="V14" s="30"/>
      <c r="W14" s="13"/>
    </row>
    <row r="15" spans="2:23" x14ac:dyDescent="0.35">
      <c r="B15" s="12"/>
      <c r="C15" s="1"/>
      <c r="D15" s="26" t="s">
        <v>172</v>
      </c>
      <c r="E15" s="77">
        <v>5</v>
      </c>
      <c r="F15" s="27" t="s">
        <v>43</v>
      </c>
      <c r="G15" s="37" t="s">
        <v>43</v>
      </c>
      <c r="H15" s="37" t="s">
        <v>117</v>
      </c>
      <c r="I15" s="37" t="s">
        <v>43</v>
      </c>
      <c r="J15" s="52" t="s">
        <v>43</v>
      </c>
      <c r="K15" s="52"/>
      <c r="L15" s="52" t="s">
        <v>43</v>
      </c>
      <c r="M15" s="30"/>
      <c r="N15" s="30"/>
      <c r="O15" s="30"/>
      <c r="P15" s="32" t="s">
        <v>117</v>
      </c>
      <c r="Q15" s="30"/>
      <c r="R15" s="30"/>
      <c r="S15" s="30"/>
      <c r="T15" s="30"/>
      <c r="V15" s="30"/>
      <c r="W15" s="13"/>
    </row>
    <row r="16" spans="2:23" x14ac:dyDescent="0.35">
      <c r="B16" s="12"/>
      <c r="C16" s="5" t="s">
        <v>129</v>
      </c>
      <c r="D16" s="3"/>
      <c r="E16" s="21"/>
      <c r="F16" s="21"/>
      <c r="G16" s="43"/>
      <c r="H16" s="62"/>
      <c r="I16" s="62"/>
      <c r="J16" s="59"/>
      <c r="K16" s="59"/>
      <c r="L16" s="59" t="s">
        <v>43</v>
      </c>
      <c r="M16" s="43"/>
      <c r="N16" s="43"/>
      <c r="O16" s="43"/>
      <c r="P16" s="43"/>
      <c r="Q16" s="43"/>
      <c r="R16" s="43"/>
      <c r="S16" s="43"/>
      <c r="T16" s="43"/>
      <c r="U16" s="43"/>
      <c r="V16" s="43"/>
      <c r="W16" s="13"/>
    </row>
    <row r="17" spans="2:23" x14ac:dyDescent="0.35">
      <c r="B17" s="12"/>
      <c r="C17" s="1"/>
      <c r="D17" s="26" t="s">
        <v>151</v>
      </c>
      <c r="E17" s="77">
        <v>5</v>
      </c>
      <c r="F17" s="84">
        <v>99.800000000000011</v>
      </c>
      <c r="G17" s="30"/>
      <c r="H17" s="37" t="s">
        <v>117</v>
      </c>
      <c r="I17" s="37"/>
      <c r="J17" s="52"/>
      <c r="K17" s="52">
        <f>+'Beregning og partsberegning'!H34</f>
        <v>4.9153994220801052E-3</v>
      </c>
      <c r="L17" s="52">
        <f>+K17*(F17/20)</f>
        <v>2.4527843116179726E-2</v>
      </c>
      <c r="M17" s="30"/>
      <c r="N17" s="30"/>
      <c r="O17" s="30"/>
      <c r="P17" s="30"/>
      <c r="Q17" s="30"/>
      <c r="R17" s="30"/>
      <c r="S17" s="30"/>
      <c r="T17" s="30"/>
      <c r="U17" s="32" t="s">
        <v>117</v>
      </c>
      <c r="V17" s="30"/>
      <c r="W17" s="13"/>
    </row>
    <row r="18" spans="2:23" x14ac:dyDescent="0.35">
      <c r="B18" s="12"/>
      <c r="J18" s="54"/>
      <c r="W18" s="13"/>
    </row>
    <row r="19" spans="2:23" ht="15" thickBot="1" x14ac:dyDescent="0.4">
      <c r="B19" s="12"/>
      <c r="K19" s="149" t="s">
        <v>42</v>
      </c>
      <c r="L19" s="150">
        <f>SUM(L12:L17)</f>
        <v>0.3133894824870872</v>
      </c>
      <c r="N19" s="179" t="s">
        <v>131</v>
      </c>
      <c r="O19" s="178">
        <f>35000*E12+40000*(SUM(E13:E14))+35000*E15+(F17/20)*35000</f>
        <v>584650</v>
      </c>
      <c r="P19" s="2" t="s">
        <v>54</v>
      </c>
      <c r="W19" s="13"/>
    </row>
    <row r="20" spans="2:23" ht="9.65" customHeight="1" thickTop="1" thickBot="1" x14ac:dyDescent="0.4">
      <c r="B20" s="17"/>
      <c r="C20" s="18"/>
      <c r="D20" s="18"/>
      <c r="E20" s="18"/>
      <c r="F20" s="18"/>
      <c r="G20" s="18"/>
      <c r="H20" s="18"/>
      <c r="I20" s="18"/>
      <c r="J20" s="18"/>
      <c r="K20" s="18"/>
      <c r="L20" s="18"/>
      <c r="M20" s="18"/>
      <c r="N20" s="18"/>
      <c r="O20" s="18"/>
      <c r="P20" s="18"/>
      <c r="Q20" s="18"/>
      <c r="R20" s="18"/>
      <c r="S20" s="18"/>
      <c r="T20" s="18"/>
      <c r="U20" s="18"/>
      <c r="V20" s="18"/>
      <c r="W20" s="19"/>
    </row>
  </sheetData>
  <mergeCells count="10">
    <mergeCell ref="M5:V8"/>
    <mergeCell ref="M9:V9"/>
    <mergeCell ref="C3:V3"/>
    <mergeCell ref="G9:H9"/>
    <mergeCell ref="C4:F4"/>
    <mergeCell ref="G4:I4"/>
    <mergeCell ref="J4:L4"/>
    <mergeCell ref="G5:I8"/>
    <mergeCell ref="C8:F8"/>
    <mergeCell ref="J5:L8"/>
  </mergeCells>
  <pageMargins left="0.7" right="0.7" top="0.75" bottom="0.75" header="0.3" footer="0.3"/>
  <pageSetup paperSize="8" scale="34"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2D693-A2F4-40D2-BAFF-19006203E20A}">
  <sheetPr>
    <pageSetUpPr fitToPage="1"/>
  </sheetPr>
  <dimension ref="B1:W19"/>
  <sheetViews>
    <sheetView showGridLines="0" zoomScaleNormal="100" workbookViewId="0">
      <selection activeCell="C7" sqref="C7"/>
    </sheetView>
  </sheetViews>
  <sheetFormatPr defaultRowHeight="14.5" x14ac:dyDescent="0.35"/>
  <cols>
    <col min="1" max="1" width="1.26953125" customWidth="1"/>
    <col min="2" max="2" width="1.453125" customWidth="1"/>
    <col min="3" max="3" width="45.7265625" customWidth="1"/>
    <col min="4" max="4" width="16" customWidth="1"/>
    <col min="5" max="6" width="15.54296875" customWidth="1"/>
    <col min="7" max="7" width="35.7265625" customWidth="1"/>
    <col min="8" max="8" width="25.7265625" customWidth="1"/>
    <col min="9" max="9" width="52.81640625" customWidth="1"/>
    <col min="10" max="13" width="25.7265625" customWidth="1"/>
    <col min="14" max="14" width="37.26953125" customWidth="1"/>
    <col min="15" max="22" width="25.7265625" customWidth="1"/>
    <col min="23" max="23" width="1.453125" customWidth="1"/>
  </cols>
  <sheetData>
    <row r="1" spans="2:23" ht="6" customHeight="1" thickBot="1" x14ac:dyDescent="0.4"/>
    <row r="2" spans="2:23" ht="7.9"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25</v>
      </c>
      <c r="D7" s="7"/>
      <c r="E7" s="25">
        <v>26759722</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173</v>
      </c>
      <c r="H9" s="307"/>
      <c r="I9" s="143" t="s">
        <v>174</v>
      </c>
      <c r="J9" s="144" t="s">
        <v>103</v>
      </c>
      <c r="K9" s="145" t="s">
        <v>104</v>
      </c>
      <c r="L9" s="144"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t="s">
        <v>43</v>
      </c>
      <c r="R10" s="30" t="s">
        <v>107</v>
      </c>
      <c r="S10" s="30" t="s">
        <v>108</v>
      </c>
      <c r="T10" s="30" t="s">
        <v>109</v>
      </c>
      <c r="U10" s="30" t="s">
        <v>110</v>
      </c>
      <c r="V10" s="1" t="s">
        <v>114</v>
      </c>
      <c r="W10" s="13"/>
    </row>
    <row r="11" spans="2:23" x14ac:dyDescent="0.35">
      <c r="B11" s="12"/>
      <c r="C11" s="5" t="s">
        <v>112</v>
      </c>
      <c r="D11" s="3"/>
      <c r="E11" s="3"/>
      <c r="F11" s="3"/>
      <c r="G11" s="151" t="s">
        <v>78</v>
      </c>
      <c r="H11" s="151" t="s">
        <v>79</v>
      </c>
      <c r="I11" s="151" t="s">
        <v>113</v>
      </c>
      <c r="J11" s="3"/>
      <c r="K11" s="3"/>
      <c r="L11" s="3"/>
      <c r="M11" s="30" t="s">
        <v>107</v>
      </c>
      <c r="N11" s="30" t="s">
        <v>108</v>
      </c>
      <c r="O11" s="30" t="s">
        <v>109</v>
      </c>
      <c r="P11" s="30" t="s">
        <v>110</v>
      </c>
      <c r="Q11" s="30" t="s">
        <v>114</v>
      </c>
      <c r="R11" s="30" t="s">
        <v>115</v>
      </c>
      <c r="S11" s="30" t="s">
        <v>115</v>
      </c>
      <c r="T11" s="30" t="s">
        <v>115</v>
      </c>
      <c r="U11" s="30" t="s">
        <v>115</v>
      </c>
      <c r="V11" s="30" t="s">
        <v>115</v>
      </c>
      <c r="W11" s="13"/>
    </row>
    <row r="12" spans="2:23" x14ac:dyDescent="0.35">
      <c r="B12" s="12"/>
      <c r="C12" s="1"/>
      <c r="D12" s="26" t="s">
        <v>155</v>
      </c>
      <c r="E12" s="88">
        <v>144</v>
      </c>
      <c r="F12" s="84">
        <v>5910.6999999999962</v>
      </c>
      <c r="G12" s="37" t="s">
        <v>117</v>
      </c>
      <c r="H12" s="30"/>
      <c r="I12" s="30"/>
      <c r="J12" s="30"/>
      <c r="K12" s="52">
        <f>+'Beregning og partsberegning'!H34</f>
        <v>4.9153994220801052E-3</v>
      </c>
      <c r="L12" s="52">
        <f>+K12*(F12/20)</f>
        <v>1.4526725682044428</v>
      </c>
      <c r="M12" s="30"/>
      <c r="N12" s="30"/>
      <c r="O12" s="30"/>
      <c r="P12" s="30"/>
      <c r="Q12" s="30"/>
      <c r="R12" s="30"/>
      <c r="S12" s="30"/>
      <c r="T12" s="30"/>
      <c r="U12" s="32" t="s">
        <v>117</v>
      </c>
      <c r="V12" s="30"/>
      <c r="W12" s="13"/>
    </row>
    <row r="13" spans="2:23" x14ac:dyDescent="0.35">
      <c r="B13" s="12"/>
      <c r="V13" s="96"/>
      <c r="W13" s="13"/>
    </row>
    <row r="14" spans="2:23" ht="15" thickBot="1" x14ac:dyDescent="0.4">
      <c r="B14" s="12"/>
      <c r="K14" s="95" t="s">
        <v>42</v>
      </c>
      <c r="L14" s="71">
        <v>3.5</v>
      </c>
      <c r="N14" s="179" t="s">
        <v>131</v>
      </c>
      <c r="O14" s="178">
        <f>+F12/20*35000</f>
        <v>10343724.999999993</v>
      </c>
      <c r="P14" s="2" t="s">
        <v>54</v>
      </c>
      <c r="W14" s="13"/>
    </row>
    <row r="15" spans="2:23" ht="7.9" customHeight="1" thickTop="1" thickBot="1" x14ac:dyDescent="0.4">
      <c r="B15" s="17"/>
      <c r="C15" s="18"/>
      <c r="D15" s="18"/>
      <c r="E15" s="18"/>
      <c r="F15" s="18"/>
      <c r="G15" s="18"/>
      <c r="H15" s="18"/>
      <c r="I15" s="18"/>
      <c r="J15" s="18"/>
      <c r="K15" s="18"/>
      <c r="L15" s="18"/>
      <c r="M15" s="18"/>
      <c r="N15" s="18"/>
      <c r="O15" s="18"/>
      <c r="P15" s="18"/>
      <c r="Q15" s="18"/>
      <c r="R15" s="18"/>
      <c r="S15" s="18"/>
      <c r="T15" s="18"/>
      <c r="U15" s="18"/>
      <c r="V15" s="18"/>
      <c r="W15" s="19"/>
    </row>
    <row r="19" spans="6:6" x14ac:dyDescent="0.35">
      <c r="F19" t="s">
        <v>43</v>
      </c>
    </row>
  </sheetData>
  <mergeCells count="10">
    <mergeCell ref="C4:F4"/>
    <mergeCell ref="G4:I4"/>
    <mergeCell ref="J4:L4"/>
    <mergeCell ref="C3:V3"/>
    <mergeCell ref="G9:H9"/>
    <mergeCell ref="M5:V8"/>
    <mergeCell ref="M9:V9"/>
    <mergeCell ref="J5:L8"/>
    <mergeCell ref="C8:F8"/>
    <mergeCell ref="G5:I8"/>
  </mergeCells>
  <pageMargins left="0.7" right="0.7" top="0.75" bottom="0.75" header="0.3" footer="0.3"/>
  <pageSetup paperSize="8" scale="3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DB772-92AA-44FB-B949-2709858481E7}">
  <sheetPr>
    <pageSetUpPr fitToPage="1"/>
  </sheetPr>
  <dimension ref="B1:J20"/>
  <sheetViews>
    <sheetView showGridLines="0" zoomScale="102" zoomScaleNormal="102" workbookViewId="0">
      <selection activeCell="C7" sqref="C7"/>
    </sheetView>
  </sheetViews>
  <sheetFormatPr defaultRowHeight="14.5" x14ac:dyDescent="0.35"/>
  <cols>
    <col min="1" max="1" width="1.1796875" customWidth="1"/>
    <col min="2" max="2" width="0.7265625" customWidth="1"/>
    <col min="3" max="3" width="45.7265625" customWidth="1"/>
    <col min="4" max="4" width="31.54296875" customWidth="1"/>
    <col min="5" max="6" width="20.7265625" customWidth="1"/>
    <col min="7" max="9" width="25.7265625" customWidth="1"/>
    <col min="10" max="10" width="1.1796875" customWidth="1"/>
  </cols>
  <sheetData>
    <row r="1" spans="2:10" ht="5.5" customHeight="1" thickBot="1" x14ac:dyDescent="0.4"/>
    <row r="2" spans="2:10" ht="4.1500000000000004" customHeight="1" x14ac:dyDescent="0.35">
      <c r="B2" s="9"/>
      <c r="C2" s="10"/>
      <c r="D2" s="10"/>
      <c r="E2" s="10" t="s">
        <v>43</v>
      </c>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G5" s="279" t="s">
        <v>43</v>
      </c>
      <c r="H5" s="280"/>
      <c r="I5" s="281"/>
      <c r="J5" s="13"/>
    </row>
    <row r="6" spans="2:10" x14ac:dyDescent="0.35">
      <c r="B6" s="12"/>
      <c r="C6" s="6" t="s">
        <v>94</v>
      </c>
      <c r="D6" s="6" t="s">
        <v>43</v>
      </c>
      <c r="E6" s="6" t="s">
        <v>95</v>
      </c>
      <c r="F6" s="6"/>
      <c r="G6" s="282"/>
      <c r="H6" s="283"/>
      <c r="I6" s="284"/>
      <c r="J6" s="13"/>
    </row>
    <row r="7" spans="2:10" x14ac:dyDescent="0.35">
      <c r="B7" s="12"/>
      <c r="C7" s="25" t="s">
        <v>25</v>
      </c>
      <c r="D7" s="7"/>
      <c r="E7" s="25">
        <v>26759722</v>
      </c>
      <c r="F7" s="24"/>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40"/>
      <c r="D10" s="3"/>
      <c r="E10" s="3"/>
      <c r="F10" s="35"/>
      <c r="G10" s="35"/>
      <c r="H10" s="35"/>
      <c r="I10" s="35"/>
      <c r="J10" s="13"/>
    </row>
    <row r="11" spans="2:10" x14ac:dyDescent="0.35">
      <c r="B11" s="12"/>
      <c r="C11" s="5" t="s">
        <v>112</v>
      </c>
      <c r="D11" s="3"/>
      <c r="E11" s="3"/>
      <c r="F11" s="44"/>
      <c r="G11" s="48"/>
      <c r="H11" s="3"/>
      <c r="I11" s="3"/>
      <c r="J11" s="13"/>
    </row>
    <row r="12" spans="2:10" x14ac:dyDescent="0.35">
      <c r="B12" s="12"/>
      <c r="C12" s="1"/>
      <c r="D12" s="26" t="s">
        <v>155</v>
      </c>
      <c r="E12" s="77">
        <v>45</v>
      </c>
      <c r="F12" s="84">
        <v>2136.6</v>
      </c>
      <c r="G12" s="30"/>
      <c r="H12" s="52">
        <f>+'Beregning og partsberegning'!H34</f>
        <v>4.9153994220801052E-3</v>
      </c>
      <c r="I12" s="52">
        <f>+H12*(F12/20)</f>
        <v>0.52511212026081766</v>
      </c>
      <c r="J12" s="13"/>
    </row>
    <row r="13" spans="2:10" x14ac:dyDescent="0.35">
      <c r="B13" s="12"/>
      <c r="J13" s="13"/>
    </row>
    <row r="14" spans="2:10" ht="15" thickBot="1" x14ac:dyDescent="0.4">
      <c r="B14" s="12"/>
      <c r="D14" s="179" t="s">
        <v>131</v>
      </c>
      <c r="E14" s="178">
        <f>+(F12/20)*35000</f>
        <v>3739050</v>
      </c>
      <c r="F14" s="2" t="s">
        <v>54</v>
      </c>
      <c r="H14" s="95" t="s">
        <v>42</v>
      </c>
      <c r="I14" s="71">
        <v>1.3</v>
      </c>
      <c r="J14" s="13"/>
    </row>
    <row r="15" spans="2:10" ht="6" customHeight="1" thickTop="1" thickBot="1" x14ac:dyDescent="0.4">
      <c r="B15" s="17"/>
      <c r="C15" s="18"/>
      <c r="D15" s="18"/>
      <c r="E15" s="18"/>
      <c r="F15" s="18"/>
      <c r="G15" s="18"/>
      <c r="H15" s="18"/>
      <c r="I15" s="18"/>
      <c r="J15" s="19"/>
    </row>
    <row r="16" spans="2:10" ht="6" customHeight="1" x14ac:dyDescent="0.35"/>
    <row r="20" spans="3:3" x14ac:dyDescent="0.35">
      <c r="C20" t="s">
        <v>43</v>
      </c>
    </row>
  </sheetData>
  <mergeCells count="5">
    <mergeCell ref="C4:F4"/>
    <mergeCell ref="G4:I4"/>
    <mergeCell ref="C3:I3"/>
    <mergeCell ref="C8:F8"/>
    <mergeCell ref="G5:I8"/>
  </mergeCells>
  <pageMargins left="0.7" right="0.7" top="0.75" bottom="0.75" header="0.3" footer="0.3"/>
  <pageSetup paperSize="8" scale="9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FFF65-043F-47D6-B164-B07E152334A8}">
  <sheetPr>
    <pageSetUpPr fitToPage="1"/>
  </sheetPr>
  <dimension ref="B1:W16"/>
  <sheetViews>
    <sheetView showGridLines="0" zoomScaleNormal="100" workbookViewId="0">
      <selection activeCell="C7" sqref="C7"/>
    </sheetView>
  </sheetViews>
  <sheetFormatPr defaultRowHeight="14.5" x14ac:dyDescent="0.35"/>
  <cols>
    <col min="1" max="1" width="1.26953125" customWidth="1"/>
    <col min="2" max="2" width="0.7265625" customWidth="1"/>
    <col min="3" max="3" width="40.81640625" customWidth="1"/>
    <col min="4" max="4" width="15.453125" customWidth="1"/>
    <col min="5" max="6" width="15.54296875" customWidth="1"/>
    <col min="7" max="7" width="35.7265625" customWidth="1"/>
    <col min="8" max="8" width="25.7265625" customWidth="1"/>
    <col min="9" max="9" width="55.1796875" customWidth="1"/>
    <col min="10" max="13" width="25.7265625" customWidth="1"/>
    <col min="14" max="14" width="44.453125" customWidth="1"/>
    <col min="15" max="22" width="25.7265625" customWidth="1"/>
    <col min="23" max="23" width="1.26953125" customWidth="1"/>
  </cols>
  <sheetData>
    <row r="1" spans="2:23" ht="6"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ht="29" x14ac:dyDescent="0.35">
      <c r="B7" s="12"/>
      <c r="C7" s="25" t="s">
        <v>26</v>
      </c>
      <c r="D7" s="7"/>
      <c r="E7" s="25">
        <v>37302457</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5" t="s">
        <v>97</v>
      </c>
      <c r="D9" s="45" t="s">
        <v>98</v>
      </c>
      <c r="E9" s="45" t="s">
        <v>99</v>
      </c>
      <c r="F9" s="45" t="s">
        <v>100</v>
      </c>
      <c r="G9" s="306" t="s">
        <v>175</v>
      </c>
      <c r="H9" s="307"/>
      <c r="I9" s="152" t="s">
        <v>176</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x14ac:dyDescent="0.35">
      <c r="B12" s="12"/>
      <c r="C12" s="1"/>
      <c r="D12" s="26" t="s">
        <v>130</v>
      </c>
      <c r="E12" s="97">
        <v>1</v>
      </c>
      <c r="F12" s="86">
        <v>81.400000000000006</v>
      </c>
      <c r="G12" s="30"/>
      <c r="H12" s="37" t="s">
        <v>117</v>
      </c>
      <c r="I12" s="30"/>
      <c r="J12" s="30"/>
      <c r="K12" s="52">
        <f>+'Beregning og partsberegning'!H34</f>
        <v>4.9153994220801052E-3</v>
      </c>
      <c r="L12" s="52">
        <f>+K12*(F12/20)</f>
        <v>2.0005675647866029E-2</v>
      </c>
      <c r="M12" s="30"/>
      <c r="N12" s="30"/>
      <c r="O12" s="30"/>
      <c r="P12" s="30"/>
      <c r="Q12" s="30"/>
      <c r="R12" s="30"/>
      <c r="S12" s="30"/>
      <c r="T12" s="30"/>
      <c r="U12" s="30"/>
      <c r="V12" s="32" t="s">
        <v>117</v>
      </c>
      <c r="W12" s="13"/>
    </row>
    <row r="13" spans="2:23" x14ac:dyDescent="0.35">
      <c r="B13" s="12"/>
      <c r="W13" s="13"/>
    </row>
    <row r="14" spans="2:23" ht="15" thickBot="1" x14ac:dyDescent="0.4">
      <c r="B14" s="12"/>
      <c r="K14" s="116" t="s">
        <v>42</v>
      </c>
      <c r="L14" s="71">
        <f>+L12</f>
        <v>2.0005675647866029E-2</v>
      </c>
      <c r="N14" s="179" t="s">
        <v>131</v>
      </c>
      <c r="O14" s="178">
        <f>40000*(F12/20)</f>
        <v>162800</v>
      </c>
      <c r="P14" s="2" t="s">
        <v>54</v>
      </c>
      <c r="W14" s="13"/>
    </row>
    <row r="15" spans="2:23" ht="8.5" customHeight="1" thickTop="1" thickBot="1" x14ac:dyDescent="0.4">
      <c r="B15" s="17"/>
      <c r="C15" s="18"/>
      <c r="D15" s="18"/>
      <c r="E15" s="18"/>
      <c r="F15" s="18"/>
      <c r="G15" s="18"/>
      <c r="H15" s="18"/>
      <c r="I15" s="18"/>
      <c r="J15" s="18"/>
      <c r="K15" s="18"/>
      <c r="L15" s="18"/>
      <c r="M15" s="18"/>
      <c r="N15" s="18"/>
      <c r="O15" s="18"/>
      <c r="P15" s="18"/>
      <c r="Q15" s="18"/>
      <c r="R15" s="18"/>
      <c r="S15" s="18"/>
      <c r="T15" s="18"/>
      <c r="U15" s="18"/>
      <c r="V15" s="18"/>
      <c r="W15" s="19"/>
    </row>
    <row r="16" spans="2:23" ht="8.5" customHeight="1" x14ac:dyDescent="0.35"/>
  </sheetData>
  <mergeCells count="10">
    <mergeCell ref="C8:F8"/>
    <mergeCell ref="J4:L4"/>
    <mergeCell ref="C4:F4"/>
    <mergeCell ref="G4:I4"/>
    <mergeCell ref="C3:V3"/>
    <mergeCell ref="G9:H9"/>
    <mergeCell ref="M5:V8"/>
    <mergeCell ref="M9:V9"/>
    <mergeCell ref="J5:L8"/>
    <mergeCell ref="G5:I8"/>
  </mergeCells>
  <phoneticPr fontId="5" type="noConversion"/>
  <pageMargins left="0.7" right="0.7" top="0.75" bottom="0.75" header="0.3" footer="0.3"/>
  <pageSetup paperSize="8" scale="3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D1E0D-3DBF-4482-A407-3863E1571EF9}">
  <sheetPr>
    <pageSetUpPr fitToPage="1"/>
  </sheetPr>
  <dimension ref="B1:W16"/>
  <sheetViews>
    <sheetView showGridLines="0" zoomScaleNormal="100" workbookViewId="0">
      <selection activeCell="C7" sqref="C7"/>
    </sheetView>
  </sheetViews>
  <sheetFormatPr defaultRowHeight="14.5" x14ac:dyDescent="0.35"/>
  <cols>
    <col min="1" max="2" width="1.453125" customWidth="1"/>
    <col min="3" max="3" width="45.7265625" customWidth="1"/>
    <col min="4" max="4" width="15.453125" customWidth="1"/>
    <col min="5" max="6" width="15.54296875" customWidth="1"/>
    <col min="7" max="7" width="35.7265625" customWidth="1"/>
    <col min="8" max="8" width="25.7265625" customWidth="1"/>
    <col min="9" max="9" width="50.7265625" customWidth="1"/>
    <col min="10" max="13" width="25.7265625" customWidth="1"/>
    <col min="14" max="14" width="37.81640625" customWidth="1"/>
    <col min="15" max="22" width="25.7265625" customWidth="1"/>
    <col min="23" max="23" width="1.26953125" customWidth="1"/>
  </cols>
  <sheetData>
    <row r="1" spans="2:23" ht="6"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177</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28</v>
      </c>
      <c r="D7" s="7"/>
      <c r="E7" s="25">
        <v>37284114</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5" t="s">
        <v>97</v>
      </c>
      <c r="D9" s="45" t="s">
        <v>98</v>
      </c>
      <c r="E9" s="45" t="s">
        <v>99</v>
      </c>
      <c r="F9" s="45" t="s">
        <v>100</v>
      </c>
      <c r="G9" s="306" t="s">
        <v>178</v>
      </c>
      <c r="H9" s="307"/>
      <c r="I9" s="152" t="s">
        <v>179</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x14ac:dyDescent="0.35">
      <c r="B12" s="12"/>
      <c r="C12" s="1"/>
      <c r="D12" s="26" t="s">
        <v>180</v>
      </c>
      <c r="E12" s="88">
        <v>2</v>
      </c>
      <c r="F12" s="30"/>
      <c r="G12" s="30"/>
      <c r="H12" s="37" t="s">
        <v>117</v>
      </c>
      <c r="I12" s="30"/>
      <c r="J12" s="52">
        <f>+'Beregning og partsberegning'!H34</f>
        <v>4.9153994220801052E-3</v>
      </c>
      <c r="K12" s="52"/>
      <c r="L12" s="52">
        <f>+J12*E12</f>
        <v>9.8307988441602105E-3</v>
      </c>
      <c r="M12" s="30"/>
      <c r="N12" s="30"/>
      <c r="O12" s="30"/>
      <c r="P12" s="30"/>
      <c r="Q12" s="32" t="s">
        <v>117</v>
      </c>
      <c r="R12" s="30"/>
      <c r="S12" s="30"/>
      <c r="T12" s="30"/>
      <c r="U12" s="30"/>
      <c r="V12" s="30"/>
      <c r="W12" s="13"/>
    </row>
    <row r="13" spans="2:23" x14ac:dyDescent="0.35">
      <c r="B13" s="12"/>
      <c r="J13" s="54"/>
      <c r="W13" s="13"/>
    </row>
    <row r="14" spans="2:23" ht="15" thickBot="1" x14ac:dyDescent="0.4">
      <c r="B14" s="12"/>
      <c r="K14" s="95" t="s">
        <v>42</v>
      </c>
      <c r="L14" s="71">
        <f>+L12</f>
        <v>9.8307988441602105E-3</v>
      </c>
      <c r="N14" s="179" t="s">
        <v>131</v>
      </c>
      <c r="O14" s="178">
        <f>40000*E12</f>
        <v>80000</v>
      </c>
      <c r="P14" s="2" t="s">
        <v>54</v>
      </c>
      <c r="Q14" t="s">
        <v>43</v>
      </c>
      <c r="W14" s="13"/>
    </row>
    <row r="15" spans="2:23" ht="7.9" customHeight="1" thickTop="1" thickBot="1" x14ac:dyDescent="0.4">
      <c r="B15" s="17"/>
      <c r="C15" s="18"/>
      <c r="D15" s="18"/>
      <c r="E15" s="18"/>
      <c r="F15" s="18"/>
      <c r="G15" s="18"/>
      <c r="H15" s="18"/>
      <c r="I15" s="18"/>
      <c r="J15" s="18"/>
      <c r="K15" s="18"/>
      <c r="L15" s="18"/>
      <c r="M15" s="18"/>
      <c r="N15" s="18"/>
      <c r="O15" s="18"/>
      <c r="P15" s="18"/>
      <c r="Q15" s="18"/>
      <c r="R15" s="18"/>
      <c r="S15" s="18"/>
      <c r="T15" s="18"/>
      <c r="U15" s="18"/>
      <c r="V15" s="18"/>
      <c r="W15" s="19"/>
    </row>
    <row r="16" spans="2:23" ht="7.9" customHeight="1" x14ac:dyDescent="0.35"/>
  </sheetData>
  <mergeCells count="10">
    <mergeCell ref="C3:V3"/>
    <mergeCell ref="C8:F8"/>
    <mergeCell ref="J5:L8"/>
    <mergeCell ref="M5:V8"/>
    <mergeCell ref="M9:V9"/>
    <mergeCell ref="G9:H9"/>
    <mergeCell ref="C4:F4"/>
    <mergeCell ref="G4:I4"/>
    <mergeCell ref="J4:L4"/>
    <mergeCell ref="G5:I8"/>
  </mergeCells>
  <pageMargins left="0.7" right="0.7" top="0.75" bottom="0.75" header="0.3" footer="0.3"/>
  <pageSetup paperSize="8" scale="3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42EAF-8148-446F-9290-FBD149A0A1BF}">
  <sheetPr>
    <pageSetUpPr fitToPage="1"/>
  </sheetPr>
  <dimension ref="B1:N48"/>
  <sheetViews>
    <sheetView showGridLines="0" zoomScale="85" zoomScaleNormal="85" workbookViewId="0">
      <selection activeCell="C4" sqref="C4:I4"/>
    </sheetView>
  </sheetViews>
  <sheetFormatPr defaultRowHeight="14.5" x14ac:dyDescent="0.35"/>
  <cols>
    <col min="1" max="1" width="1.453125" customWidth="1"/>
    <col min="2" max="2" width="1.7265625" customWidth="1"/>
    <col min="3" max="3" width="49.453125" customWidth="1"/>
    <col min="4" max="4" width="24.7265625" customWidth="1"/>
    <col min="5" max="5" width="4.7265625" customWidth="1"/>
    <col min="6" max="6" width="26.7265625" customWidth="1"/>
    <col min="7" max="7" width="5.26953125" customWidth="1"/>
    <col min="8" max="8" width="23.453125" customWidth="1"/>
    <col min="9" max="9" width="4.26953125" customWidth="1"/>
    <col min="10" max="10" width="1.54296875" customWidth="1"/>
  </cols>
  <sheetData>
    <row r="1" spans="2:14" ht="7.15" customHeight="1" thickBot="1" x14ac:dyDescent="0.4"/>
    <row r="2" spans="2:14" ht="9" customHeight="1" x14ac:dyDescent="0.35">
      <c r="B2" s="9"/>
      <c r="C2" s="10"/>
      <c r="D2" s="10"/>
      <c r="E2" s="10"/>
      <c r="F2" s="10"/>
      <c r="G2" s="10"/>
      <c r="H2" s="10"/>
      <c r="I2" s="10"/>
      <c r="J2" s="11"/>
    </row>
    <row r="3" spans="2:14" ht="25.15" customHeight="1" x14ac:dyDescent="0.5">
      <c r="B3" s="12"/>
      <c r="C3" s="245" t="str">
        <f>Overs!C3</f>
        <v>BogenseKystdiger_BidragsfordelingForsyning_2026_Feb_Version3</v>
      </c>
      <c r="D3" s="246"/>
      <c r="E3" s="246"/>
      <c r="F3" s="246"/>
      <c r="G3" s="246"/>
      <c r="H3" s="246"/>
      <c r="I3" s="247"/>
      <c r="J3" s="133"/>
      <c r="K3" s="128"/>
      <c r="L3" s="128"/>
      <c r="M3" s="128"/>
      <c r="N3" s="128"/>
    </row>
    <row r="4" spans="2:14" s="121" customFormat="1" ht="25.15" customHeight="1" x14ac:dyDescent="0.5">
      <c r="B4" s="129"/>
      <c r="C4" s="248" t="s">
        <v>45</v>
      </c>
      <c r="D4" s="249"/>
      <c r="E4" s="249"/>
      <c r="F4" s="249"/>
      <c r="G4" s="249"/>
      <c r="H4" s="249"/>
      <c r="I4" s="250"/>
      <c r="J4" s="130"/>
    </row>
    <row r="5" spans="2:14" ht="5.5" customHeight="1" x14ac:dyDescent="0.35">
      <c r="B5" s="12"/>
      <c r="C5" s="257"/>
      <c r="D5" s="258"/>
      <c r="E5" s="258"/>
      <c r="F5" s="258"/>
      <c r="G5" s="258"/>
      <c r="H5" s="258"/>
      <c r="I5" s="259"/>
      <c r="J5" s="13"/>
    </row>
    <row r="6" spans="2:14" x14ac:dyDescent="0.35">
      <c r="B6" s="12"/>
      <c r="C6" s="254" t="s">
        <v>46</v>
      </c>
      <c r="D6" s="255"/>
      <c r="E6" s="255"/>
      <c r="F6" s="255"/>
      <c r="G6" s="255"/>
      <c r="H6" s="255"/>
      <c r="I6" s="256"/>
      <c r="J6" s="13"/>
    </row>
    <row r="7" spans="2:14" ht="132" customHeight="1" x14ac:dyDescent="0.35">
      <c r="B7" s="12"/>
      <c r="C7" s="251" t="s">
        <v>47</v>
      </c>
      <c r="D7" s="252"/>
      <c r="E7" s="252"/>
      <c r="F7" s="252"/>
      <c r="G7" s="252"/>
      <c r="H7" s="252"/>
      <c r="I7" s="253"/>
      <c r="J7" s="13"/>
      <c r="M7" s="160"/>
    </row>
    <row r="8" spans="2:14" ht="29.15" customHeight="1" x14ac:dyDescent="0.55000000000000004">
      <c r="B8" s="12"/>
      <c r="C8" s="242" t="s">
        <v>48</v>
      </c>
      <c r="D8" s="243"/>
      <c r="E8" s="243"/>
      <c r="F8" s="243"/>
      <c r="G8" s="243"/>
      <c r="H8" s="243"/>
      <c r="I8" s="244"/>
      <c r="J8" s="13"/>
    </row>
    <row r="9" spans="2:14" ht="16" x14ac:dyDescent="0.4">
      <c r="B9" s="12"/>
      <c r="C9" s="260" t="s">
        <v>49</v>
      </c>
      <c r="D9" s="261"/>
      <c r="E9" s="180"/>
      <c r="F9" s="137" t="s">
        <v>43</v>
      </c>
      <c r="G9" s="190"/>
      <c r="H9" s="190"/>
      <c r="I9" s="102"/>
      <c r="J9" s="13"/>
    </row>
    <row r="10" spans="2:14" x14ac:dyDescent="0.35">
      <c r="B10" s="12"/>
      <c r="C10" s="30" t="s">
        <v>50</v>
      </c>
      <c r="D10" s="195">
        <v>3571.1880000000001</v>
      </c>
      <c r="E10" s="206" t="s">
        <v>51</v>
      </c>
      <c r="F10" s="138" t="s">
        <v>52</v>
      </c>
      <c r="I10" s="139"/>
      <c r="J10" s="13"/>
    </row>
    <row r="11" spans="2:14" x14ac:dyDescent="0.35">
      <c r="B11" s="12"/>
      <c r="C11" s="30" t="s">
        <v>53</v>
      </c>
      <c r="D11" s="196">
        <v>127000000</v>
      </c>
      <c r="E11" s="207" t="s">
        <v>54</v>
      </c>
      <c r="F11" s="138" t="s">
        <v>55</v>
      </c>
      <c r="I11" s="139"/>
      <c r="J11" s="13"/>
    </row>
    <row r="12" spans="2:14" x14ac:dyDescent="0.35">
      <c r="B12" s="12"/>
      <c r="C12" s="99" t="s">
        <v>56</v>
      </c>
      <c r="D12" s="196">
        <v>30000000</v>
      </c>
      <c r="E12" s="207" t="s">
        <v>54</v>
      </c>
      <c r="F12" s="138" t="s">
        <v>57</v>
      </c>
      <c r="I12" s="139"/>
      <c r="J12" s="13"/>
    </row>
    <row r="13" spans="2:14" x14ac:dyDescent="0.35">
      <c r="B13" s="12"/>
      <c r="C13" s="99" t="s">
        <v>58</v>
      </c>
      <c r="D13" s="196">
        <f>D11-D12</f>
        <v>97000000</v>
      </c>
      <c r="E13" s="207" t="s">
        <v>54</v>
      </c>
      <c r="F13" s="138"/>
      <c r="I13" s="139"/>
      <c r="J13" s="13"/>
    </row>
    <row r="14" spans="2:14" x14ac:dyDescent="0.35">
      <c r="B14" s="12"/>
      <c r="C14" s="99" t="s">
        <v>59</v>
      </c>
      <c r="D14" s="221">
        <f>((D13)/25)/D10</f>
        <v>1086.4731848337303</v>
      </c>
      <c r="E14" s="207" t="s">
        <v>54</v>
      </c>
      <c r="F14" s="138"/>
      <c r="I14" s="139"/>
      <c r="J14" s="13"/>
    </row>
    <row r="15" spans="2:14" x14ac:dyDescent="0.35">
      <c r="B15" s="12"/>
      <c r="C15" s="30" t="s">
        <v>60</v>
      </c>
      <c r="D15" s="229">
        <f>D14*25</f>
        <v>27161.829620843258</v>
      </c>
      <c r="E15" s="207" t="s">
        <v>54</v>
      </c>
      <c r="F15" s="138"/>
      <c r="I15" s="139"/>
      <c r="J15" s="13"/>
    </row>
    <row r="16" spans="2:14" x14ac:dyDescent="0.35">
      <c r="B16" s="12"/>
      <c r="C16" s="99"/>
      <c r="D16" s="197"/>
      <c r="E16" s="207"/>
      <c r="F16" s="138"/>
      <c r="I16" s="139"/>
      <c r="J16" s="13"/>
    </row>
    <row r="17" spans="2:11" x14ac:dyDescent="0.35">
      <c r="B17" s="12"/>
      <c r="C17" s="269" t="s">
        <v>61</v>
      </c>
      <c r="D17" s="270"/>
      <c r="E17" s="228"/>
      <c r="F17" s="138"/>
      <c r="I17" s="139"/>
      <c r="J17" s="13"/>
    </row>
    <row r="18" spans="2:11" x14ac:dyDescent="0.35">
      <c r="B18" s="12"/>
      <c r="C18" s="30" t="s">
        <v>62</v>
      </c>
      <c r="D18" s="196">
        <f>D11-D12</f>
        <v>97000000</v>
      </c>
      <c r="E18" s="207" t="s">
        <v>54</v>
      </c>
      <c r="F18" s="138"/>
      <c r="I18" s="139"/>
      <c r="J18" s="13"/>
    </row>
    <row r="19" spans="2:11" x14ac:dyDescent="0.35">
      <c r="B19" s="12"/>
      <c r="C19" s="30" t="s">
        <v>63</v>
      </c>
      <c r="D19" s="196">
        <f>PMT(5%,25,-(D18))</f>
        <v>6882388.3580252724</v>
      </c>
      <c r="E19" s="207" t="s">
        <v>54</v>
      </c>
      <c r="F19" s="138" t="s">
        <v>64</v>
      </c>
      <c r="H19" s="216"/>
      <c r="I19" s="139"/>
      <c r="J19" s="134"/>
    </row>
    <row r="20" spans="2:11" x14ac:dyDescent="0.35">
      <c r="B20" s="12"/>
      <c r="C20" s="30" t="s">
        <v>65</v>
      </c>
      <c r="D20" s="196">
        <f>D19*25</f>
        <v>172059708.9506318</v>
      </c>
      <c r="E20" s="207" t="s">
        <v>54</v>
      </c>
      <c r="F20" s="138"/>
      <c r="I20" s="139"/>
      <c r="J20" s="134"/>
    </row>
    <row r="21" spans="2:11" x14ac:dyDescent="0.35">
      <c r="B21" s="12"/>
      <c r="C21" s="30" t="s">
        <v>59</v>
      </c>
      <c r="D21" s="221">
        <f>+D19/D10</f>
        <v>1927.1985563418314</v>
      </c>
      <c r="E21" s="207" t="s">
        <v>54</v>
      </c>
      <c r="F21" s="138"/>
      <c r="I21" s="139"/>
      <c r="J21" s="13"/>
    </row>
    <row r="22" spans="2:11" x14ac:dyDescent="0.35">
      <c r="B22" s="12"/>
      <c r="C22" s="30" t="s">
        <v>66</v>
      </c>
      <c r="D22" s="229">
        <f>D21*25</f>
        <v>48179.963908545782</v>
      </c>
      <c r="E22" s="207" t="s">
        <v>54</v>
      </c>
      <c r="F22" s="138"/>
      <c r="I22" s="139"/>
      <c r="J22" s="134"/>
      <c r="K22" t="s">
        <v>43</v>
      </c>
    </row>
    <row r="23" spans="2:11" x14ac:dyDescent="0.35">
      <c r="B23" s="12"/>
      <c r="C23" s="226"/>
      <c r="D23" s="227"/>
      <c r="E23" s="223"/>
      <c r="F23" s="138"/>
      <c r="I23" s="139"/>
      <c r="J23" s="134"/>
    </row>
    <row r="24" spans="2:11" x14ac:dyDescent="0.35">
      <c r="B24" s="12"/>
      <c r="C24" s="269" t="s">
        <v>67</v>
      </c>
      <c r="D24" s="270"/>
      <c r="E24" s="228"/>
      <c r="F24" s="138"/>
      <c r="I24" s="139"/>
      <c r="J24" s="134"/>
    </row>
    <row r="25" spans="2:11" x14ac:dyDescent="0.35">
      <c r="B25" s="12"/>
      <c r="C25" s="30" t="s">
        <v>68</v>
      </c>
      <c r="D25" s="232">
        <f>(D11*0.02)/D10</f>
        <v>711.24790965919465</v>
      </c>
      <c r="E25" s="206" t="s">
        <v>54</v>
      </c>
      <c r="F25" s="138" t="s">
        <v>69</v>
      </c>
      <c r="I25" s="139"/>
      <c r="J25" s="134"/>
    </row>
    <row r="26" spans="2:11" x14ac:dyDescent="0.35">
      <c r="B26" s="12"/>
      <c r="C26" s="230"/>
      <c r="D26" s="231"/>
      <c r="E26" s="223"/>
      <c r="F26" s="138"/>
      <c r="I26" s="139"/>
      <c r="J26" s="134"/>
    </row>
    <row r="27" spans="2:11" x14ac:dyDescent="0.35">
      <c r="B27" s="12"/>
      <c r="C27" s="271" t="s">
        <v>70</v>
      </c>
      <c r="D27" s="272"/>
      <c r="E27" s="228"/>
      <c r="F27" s="138"/>
      <c r="I27" s="139"/>
      <c r="J27" s="13"/>
    </row>
    <row r="28" spans="2:11" x14ac:dyDescent="0.35">
      <c r="B28" s="12"/>
      <c r="C28" s="30" t="s">
        <v>71</v>
      </c>
      <c r="D28" s="196">
        <v>1525817</v>
      </c>
      <c r="E28" s="207" t="s">
        <v>54</v>
      </c>
      <c r="F28" s="138" t="s">
        <v>72</v>
      </c>
      <c r="I28" s="139"/>
      <c r="J28" s="13"/>
    </row>
    <row r="29" spans="2:11" x14ac:dyDescent="0.35">
      <c r="B29" s="12"/>
      <c r="C29" s="30" t="s">
        <v>73</v>
      </c>
      <c r="D29" s="99">
        <v>2.0499999999999998</v>
      </c>
      <c r="E29" s="223" t="s">
        <v>51</v>
      </c>
      <c r="F29" s="138"/>
      <c r="I29" s="139"/>
      <c r="J29" s="135"/>
    </row>
    <row r="30" spans="2:11" x14ac:dyDescent="0.35">
      <c r="B30" s="12"/>
      <c r="C30" s="30" t="s">
        <v>74</v>
      </c>
      <c r="D30" s="99">
        <v>0.5</v>
      </c>
      <c r="E30" s="223" t="s">
        <v>51</v>
      </c>
      <c r="F30" s="138"/>
      <c r="I30" s="139"/>
      <c r="J30" s="13"/>
    </row>
    <row r="31" spans="2:11" x14ac:dyDescent="0.35">
      <c r="B31" s="12"/>
      <c r="C31" s="264"/>
      <c r="D31" s="265"/>
      <c r="E31" s="223"/>
      <c r="F31" s="138"/>
      <c r="I31" s="139"/>
      <c r="J31" s="13"/>
    </row>
    <row r="32" spans="2:11" ht="16" x14ac:dyDescent="0.4">
      <c r="B32" s="12"/>
      <c r="C32" s="187" t="s">
        <v>75</v>
      </c>
      <c r="D32" s="188"/>
      <c r="E32" s="225"/>
      <c r="F32" s="138"/>
      <c r="I32" s="140"/>
      <c r="J32" s="13"/>
    </row>
    <row r="33" spans="2:10" x14ac:dyDescent="0.35">
      <c r="B33" s="12"/>
      <c r="C33" s="30" t="s">
        <v>76</v>
      </c>
      <c r="D33" s="222" t="s">
        <v>77</v>
      </c>
      <c r="E33" s="224"/>
      <c r="F33" s="257" t="s">
        <v>78</v>
      </c>
      <c r="G33" s="259"/>
      <c r="H33" s="99" t="s">
        <v>79</v>
      </c>
      <c r="I33" s="76"/>
      <c r="J33" s="13"/>
    </row>
    <row r="34" spans="2:10" x14ac:dyDescent="0.35">
      <c r="B34" s="12"/>
      <c r="C34" s="30" t="s">
        <v>80</v>
      </c>
      <c r="D34" s="198">
        <v>15000</v>
      </c>
      <c r="E34" s="208" t="s">
        <v>54</v>
      </c>
      <c r="F34" s="193">
        <f>+D34/D28*D29</f>
        <v>2.015313763052843E-2</v>
      </c>
      <c r="G34" s="205" t="s">
        <v>51</v>
      </c>
      <c r="H34" s="267">
        <f>+(D34/D28)*D30</f>
        <v>4.9153994220801052E-3</v>
      </c>
      <c r="I34" s="262" t="s">
        <v>51</v>
      </c>
      <c r="J34" s="13"/>
    </row>
    <row r="35" spans="2:10" x14ac:dyDescent="0.35">
      <c r="B35" s="12"/>
      <c r="C35" s="30" t="s">
        <v>81</v>
      </c>
      <c r="D35" s="198">
        <v>40000</v>
      </c>
      <c r="E35" s="223" t="s">
        <v>54</v>
      </c>
      <c r="F35" s="193">
        <f>+D35/D28*D29</f>
        <v>5.3741700348075808E-2</v>
      </c>
      <c r="G35" s="205" t="s">
        <v>51</v>
      </c>
      <c r="H35" s="268"/>
      <c r="I35" s="262"/>
      <c r="J35" s="13"/>
    </row>
    <row r="36" spans="2:10" x14ac:dyDescent="0.35">
      <c r="B36" s="12"/>
      <c r="C36" s="137"/>
      <c r="D36" s="200"/>
      <c r="E36" s="209"/>
      <c r="F36" s="191"/>
      <c r="G36" s="191"/>
      <c r="H36" s="191"/>
      <c r="I36" s="156"/>
      <c r="J36" s="13"/>
    </row>
    <row r="37" spans="2:10" ht="16" x14ac:dyDescent="0.4">
      <c r="B37" s="12"/>
      <c r="C37" s="204" t="s">
        <v>82</v>
      </c>
      <c r="D37" s="203"/>
      <c r="E37" s="210"/>
      <c r="F37" s="122"/>
      <c r="G37" s="122"/>
      <c r="H37" s="122"/>
      <c r="I37" s="189"/>
      <c r="J37" s="13"/>
    </row>
    <row r="38" spans="2:10" x14ac:dyDescent="0.35">
      <c r="B38" s="12"/>
      <c r="C38" s="30" t="s">
        <v>83</v>
      </c>
      <c r="D38" s="196">
        <f>+'1e_str3'!O14+'3e_str3 '!O17+'13e_str3'!O14+'14e_str3'!O14+'15e_str3'!O15</f>
        <v>5910500</v>
      </c>
      <c r="E38" s="207" t="s">
        <v>54</v>
      </c>
      <c r="F38" s="157" t="s">
        <v>84</v>
      </c>
      <c r="G38" s="28"/>
      <c r="H38" s="28"/>
      <c r="I38" s="158"/>
      <c r="J38" s="13"/>
    </row>
    <row r="39" spans="2:10" x14ac:dyDescent="0.35">
      <c r="B39" s="12"/>
      <c r="C39" s="30" t="s">
        <v>85</v>
      </c>
      <c r="D39" s="198">
        <v>5</v>
      </c>
      <c r="E39" s="211" t="s">
        <v>86</v>
      </c>
      <c r="F39" s="157"/>
      <c r="G39" s="28"/>
      <c r="H39" s="28"/>
      <c r="I39" s="158"/>
      <c r="J39" s="13"/>
    </row>
    <row r="40" spans="2:10" x14ac:dyDescent="0.35">
      <c r="B40" s="12"/>
      <c r="C40" s="30"/>
      <c r="D40" s="198"/>
      <c r="E40" s="211"/>
      <c r="F40" s="157"/>
      <c r="G40" s="28"/>
      <c r="H40" s="28"/>
      <c r="I40" s="158"/>
      <c r="J40" s="13"/>
    </row>
    <row r="41" spans="2:10" x14ac:dyDescent="0.35">
      <c r="B41" s="12"/>
      <c r="C41" s="30" t="s">
        <v>74</v>
      </c>
      <c r="D41" s="199">
        <v>1E-3</v>
      </c>
      <c r="E41" s="202" t="s">
        <v>51</v>
      </c>
      <c r="F41" s="157"/>
      <c r="G41" s="28"/>
      <c r="H41" s="28"/>
      <c r="I41" s="158"/>
      <c r="J41" s="13"/>
    </row>
    <row r="42" spans="2:10" x14ac:dyDescent="0.35">
      <c r="B42" s="12"/>
      <c r="C42" s="30"/>
      <c r="D42" s="198"/>
      <c r="E42" s="211"/>
      <c r="F42" s="157"/>
      <c r="G42" s="28"/>
      <c r="H42" s="28"/>
      <c r="I42" s="158"/>
      <c r="J42" s="13"/>
    </row>
    <row r="43" spans="2:10" ht="16" x14ac:dyDescent="0.4">
      <c r="B43" s="12"/>
      <c r="C43" s="187" t="s">
        <v>87</v>
      </c>
      <c r="D43" s="188"/>
      <c r="E43" s="225"/>
      <c r="F43" s="157"/>
      <c r="G43" s="28"/>
      <c r="H43" s="28"/>
      <c r="I43" s="159"/>
      <c r="J43" s="13"/>
    </row>
    <row r="44" spans="2:10" x14ac:dyDescent="0.35">
      <c r="B44" s="12"/>
      <c r="C44" s="30" t="s">
        <v>76</v>
      </c>
      <c r="D44" s="99" t="s">
        <v>77</v>
      </c>
      <c r="E44" s="224"/>
      <c r="F44" s="99" t="s">
        <v>88</v>
      </c>
      <c r="G44" s="76"/>
      <c r="H44" s="126" t="s">
        <v>89</v>
      </c>
      <c r="I44" s="76"/>
      <c r="J44" s="13"/>
    </row>
    <row r="45" spans="2:10" x14ac:dyDescent="0.35">
      <c r="B45" s="12"/>
      <c r="C45" s="30" t="s">
        <v>80</v>
      </c>
      <c r="D45" s="198">
        <v>15000</v>
      </c>
      <c r="E45" s="208" t="s">
        <v>54</v>
      </c>
      <c r="F45" s="193">
        <f>+(D45/D38)*D39</f>
        <v>1.2689281786650877E-2</v>
      </c>
      <c r="G45" s="205" t="s">
        <v>51</v>
      </c>
      <c r="H45" s="266">
        <v>1E-3</v>
      </c>
      <c r="I45" s="263" t="s">
        <v>51</v>
      </c>
      <c r="J45" s="13"/>
    </row>
    <row r="46" spans="2:10" x14ac:dyDescent="0.35">
      <c r="B46" s="12"/>
      <c r="C46" s="30" t="s">
        <v>81</v>
      </c>
      <c r="D46" s="198">
        <v>40000</v>
      </c>
      <c r="E46" s="208" t="s">
        <v>54</v>
      </c>
      <c r="F46" s="193">
        <f>+D46/D38*D39</f>
        <v>3.3838084764402337E-2</v>
      </c>
      <c r="G46" s="205" t="s">
        <v>51</v>
      </c>
      <c r="H46" s="266"/>
      <c r="I46" s="263"/>
      <c r="J46" s="13"/>
    </row>
    <row r="47" spans="2:10" ht="27.75" customHeight="1" x14ac:dyDescent="0.35">
      <c r="B47" s="12"/>
      <c r="C47" s="99"/>
      <c r="D47" s="201"/>
      <c r="E47" s="201"/>
      <c r="F47" s="212"/>
      <c r="G47" s="192"/>
      <c r="H47" s="192"/>
      <c r="I47" s="194"/>
      <c r="J47" s="13"/>
    </row>
    <row r="48" spans="2:10" ht="7.15" customHeight="1" thickBot="1" x14ac:dyDescent="0.4">
      <c r="B48" s="17"/>
      <c r="C48" s="18"/>
      <c r="D48" s="18"/>
      <c r="E48" s="18"/>
      <c r="F48" s="18"/>
      <c r="G48" s="18"/>
      <c r="H48" s="18"/>
      <c r="I48" s="18"/>
      <c r="J48" s="19"/>
    </row>
  </sheetData>
  <mergeCells count="16">
    <mergeCell ref="C9:D9"/>
    <mergeCell ref="F33:G33"/>
    <mergeCell ref="I34:I35"/>
    <mergeCell ref="I45:I46"/>
    <mergeCell ref="C31:D31"/>
    <mergeCell ref="H45:H46"/>
    <mergeCell ref="H34:H35"/>
    <mergeCell ref="C17:D17"/>
    <mergeCell ref="C27:D27"/>
    <mergeCell ref="C24:D24"/>
    <mergeCell ref="C8:I8"/>
    <mergeCell ref="C3:I3"/>
    <mergeCell ref="C4:I4"/>
    <mergeCell ref="C7:I7"/>
    <mergeCell ref="C6:I6"/>
    <mergeCell ref="C5:I5"/>
  </mergeCells>
  <pageMargins left="0.7" right="0.7" top="0.75" bottom="0.75" header="0.3" footer="0.3"/>
  <pageSetup paperSize="8" scale="84"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DEACA-5E31-436D-95EC-7F65F094B7D6}">
  <sheetPr>
    <pageSetUpPr fitToPage="1"/>
  </sheetPr>
  <dimension ref="B1:J16"/>
  <sheetViews>
    <sheetView showGridLines="0" zoomScale="107" zoomScaleNormal="107" workbookViewId="0">
      <selection activeCell="C7" sqref="C7"/>
    </sheetView>
  </sheetViews>
  <sheetFormatPr defaultRowHeight="14.5" x14ac:dyDescent="0.35"/>
  <cols>
    <col min="1" max="1" width="0.7265625" customWidth="1"/>
    <col min="2" max="2" width="1.26953125" customWidth="1"/>
    <col min="3" max="3" width="45.7265625" customWidth="1"/>
    <col min="4" max="4" width="30.7265625" customWidth="1"/>
    <col min="5" max="6" width="15.7265625" customWidth="1"/>
    <col min="7" max="9" width="25.7265625" customWidth="1"/>
    <col min="10" max="10" width="1.54296875" customWidth="1"/>
  </cols>
  <sheetData>
    <row r="1" spans="2:10" ht="7.15" customHeight="1" thickBot="1" x14ac:dyDescent="0.4"/>
    <row r="2" spans="2:10" ht="6.65" customHeight="1" x14ac:dyDescent="0.35">
      <c r="B2" s="9"/>
      <c r="C2" s="10"/>
      <c r="D2" s="10"/>
      <c r="E2" s="10"/>
      <c r="F2" s="10"/>
      <c r="G2" s="10" t="s">
        <v>43</v>
      </c>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99"/>
      <c r="G5" s="279" t="s">
        <v>43</v>
      </c>
      <c r="H5" s="280"/>
      <c r="I5" s="281"/>
      <c r="J5" s="13"/>
    </row>
    <row r="6" spans="2:10" x14ac:dyDescent="0.35">
      <c r="B6" s="12"/>
      <c r="C6" s="6" t="s">
        <v>94</v>
      </c>
      <c r="D6" s="6" t="s">
        <v>177</v>
      </c>
      <c r="E6" s="6" t="s">
        <v>95</v>
      </c>
      <c r="F6" s="6"/>
      <c r="G6" s="282"/>
      <c r="H6" s="283"/>
      <c r="I6" s="284"/>
      <c r="J6" s="13"/>
    </row>
    <row r="7" spans="2:10" x14ac:dyDescent="0.35">
      <c r="B7" s="12"/>
      <c r="C7" s="25" t="s">
        <v>28</v>
      </c>
      <c r="D7" s="7"/>
      <c r="E7" s="77">
        <v>37284114</v>
      </c>
      <c r="F7" s="24"/>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40"/>
      <c r="D10" s="3"/>
      <c r="E10" s="3"/>
      <c r="F10" s="3"/>
      <c r="G10" s="3"/>
      <c r="H10" s="3"/>
      <c r="I10" s="3"/>
      <c r="J10" s="13"/>
    </row>
    <row r="11" spans="2:10" x14ac:dyDescent="0.35">
      <c r="B11" s="12"/>
      <c r="C11" s="5" t="s">
        <v>112</v>
      </c>
      <c r="D11" s="3"/>
      <c r="E11" s="3"/>
      <c r="F11" s="3"/>
      <c r="G11" s="3"/>
      <c r="H11" s="3"/>
      <c r="I11" s="3"/>
      <c r="J11" s="13"/>
    </row>
    <row r="12" spans="2:10" x14ac:dyDescent="0.35">
      <c r="B12" s="12"/>
      <c r="C12" s="1"/>
      <c r="D12" s="26" t="s">
        <v>180</v>
      </c>
      <c r="E12" s="88">
        <v>2</v>
      </c>
      <c r="F12" s="30"/>
      <c r="G12" s="36">
        <f>+'Beregning og partsberegning'!H34</f>
        <v>4.9153994220801052E-3</v>
      </c>
      <c r="H12" s="36"/>
      <c r="I12" s="36">
        <f>+G12*E12</f>
        <v>9.8307988441602105E-3</v>
      </c>
      <c r="J12" s="13"/>
    </row>
    <row r="13" spans="2:10" x14ac:dyDescent="0.35">
      <c r="B13" s="12"/>
      <c r="G13" s="28"/>
      <c r="J13" s="13"/>
    </row>
    <row r="14" spans="2:10" ht="15" thickBot="1" x14ac:dyDescent="0.4">
      <c r="B14" s="12"/>
      <c r="D14" s="179" t="s">
        <v>131</v>
      </c>
      <c r="E14" s="178">
        <f>40000*E12</f>
        <v>80000</v>
      </c>
      <c r="F14" s="2" t="s">
        <v>54</v>
      </c>
      <c r="H14" s="116" t="s">
        <v>42</v>
      </c>
      <c r="I14" s="98">
        <f>+I12</f>
        <v>9.8307988441602105E-3</v>
      </c>
      <c r="J14" s="13"/>
    </row>
    <row r="15" spans="2:10" ht="7.9" customHeight="1" thickTop="1" thickBot="1" x14ac:dyDescent="0.4">
      <c r="B15" s="17"/>
      <c r="C15" s="18"/>
      <c r="D15" s="18"/>
      <c r="E15" s="18"/>
      <c r="F15" s="18"/>
      <c r="G15" s="18"/>
      <c r="H15" s="18"/>
      <c r="I15" s="18"/>
      <c r="J15" s="19"/>
    </row>
    <row r="16" spans="2:10" ht="7.9" customHeight="1" x14ac:dyDescent="0.35"/>
  </sheetData>
  <mergeCells count="5">
    <mergeCell ref="C4:F4"/>
    <mergeCell ref="G4:I4"/>
    <mergeCell ref="C3:I3"/>
    <mergeCell ref="C8:F8"/>
    <mergeCell ref="G5:I8"/>
  </mergeCells>
  <pageMargins left="0.7" right="0.7" top="0.75" bottom="0.75" header="0.3" footer="0.3"/>
  <pageSetup paperSize="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CAC33-4783-45C8-9E8D-B1664C404839}">
  <sheetPr>
    <pageSetUpPr fitToPage="1"/>
  </sheetPr>
  <dimension ref="B1:W17"/>
  <sheetViews>
    <sheetView showGridLines="0" zoomScaleNormal="100" workbookViewId="0">
      <selection activeCell="C7" sqref="C7"/>
    </sheetView>
  </sheetViews>
  <sheetFormatPr defaultRowHeight="14.5" x14ac:dyDescent="0.35"/>
  <cols>
    <col min="1" max="2" width="1.7265625" customWidth="1"/>
    <col min="3" max="3" width="45.7265625" customWidth="1"/>
    <col min="4" max="4" width="15.453125" customWidth="1"/>
    <col min="5" max="6" width="15.54296875" customWidth="1"/>
    <col min="7" max="7" width="35.7265625" customWidth="1"/>
    <col min="8" max="8" width="25.7265625" customWidth="1"/>
    <col min="9" max="9" width="51.54296875" customWidth="1"/>
    <col min="10" max="13" width="25.7265625" customWidth="1"/>
    <col min="14" max="14" width="33" customWidth="1"/>
    <col min="15" max="22" width="25.7265625" customWidth="1"/>
    <col min="23" max="23" width="1.7265625" customWidth="1"/>
  </cols>
  <sheetData>
    <row r="1" spans="2:23" ht="7.15" customHeight="1" thickBot="1" x14ac:dyDescent="0.4"/>
    <row r="2" spans="2:23" ht="7.9"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29</v>
      </c>
      <c r="D7" s="7"/>
      <c r="E7" s="25">
        <v>22985817</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5" t="s">
        <v>97</v>
      </c>
      <c r="D9" s="45" t="s">
        <v>98</v>
      </c>
      <c r="E9" s="45" t="s">
        <v>99</v>
      </c>
      <c r="F9" s="45" t="s">
        <v>100</v>
      </c>
      <c r="G9" s="306" t="s">
        <v>181</v>
      </c>
      <c r="H9" s="307"/>
      <c r="I9" s="152" t="s">
        <v>182</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ht="29" x14ac:dyDescent="0.35">
      <c r="B12" s="12"/>
      <c r="C12" s="1"/>
      <c r="D12" s="26" t="s">
        <v>127</v>
      </c>
      <c r="E12" s="101">
        <v>3</v>
      </c>
      <c r="F12" s="27">
        <v>0</v>
      </c>
      <c r="G12" s="30"/>
      <c r="H12" s="37" t="s">
        <v>117</v>
      </c>
      <c r="I12" s="30"/>
      <c r="J12" s="52">
        <f>+'Beregning og partsberegning'!H34</f>
        <v>4.9153994220801052E-3</v>
      </c>
      <c r="K12" s="52"/>
      <c r="L12" s="52">
        <f>+J12*E12</f>
        <v>1.4746198266240317E-2</v>
      </c>
      <c r="M12" s="30"/>
      <c r="N12" s="30"/>
      <c r="O12" s="30"/>
      <c r="P12" s="30"/>
      <c r="Q12" s="32" t="s">
        <v>117</v>
      </c>
      <c r="R12" s="30"/>
      <c r="S12" s="30"/>
      <c r="T12" s="30"/>
      <c r="U12" s="30"/>
      <c r="V12" s="30"/>
      <c r="W12" s="13"/>
    </row>
    <row r="13" spans="2:23" x14ac:dyDescent="0.35">
      <c r="B13" s="12"/>
      <c r="C13" s="5" t="s">
        <v>129</v>
      </c>
      <c r="D13" s="3"/>
      <c r="E13" s="83"/>
      <c r="F13" s="21"/>
      <c r="G13" s="33"/>
      <c r="H13" s="33"/>
      <c r="I13" s="33"/>
      <c r="J13" s="53"/>
      <c r="K13" s="53"/>
      <c r="L13" s="53"/>
      <c r="M13" s="30"/>
      <c r="N13" s="30"/>
      <c r="O13" s="30"/>
      <c r="P13" s="30"/>
      <c r="Q13" s="30"/>
      <c r="R13" s="30"/>
      <c r="S13" s="30"/>
      <c r="T13" s="30"/>
      <c r="U13" s="30"/>
      <c r="V13" s="30"/>
      <c r="W13" s="13"/>
    </row>
    <row r="14" spans="2:23" x14ac:dyDescent="0.35">
      <c r="B14" s="12"/>
      <c r="C14" s="1"/>
      <c r="D14" s="26" t="s">
        <v>130</v>
      </c>
      <c r="E14" s="101">
        <v>17</v>
      </c>
      <c r="F14" s="84">
        <v>741</v>
      </c>
      <c r="G14" s="30"/>
      <c r="H14" s="37" t="s">
        <v>117</v>
      </c>
      <c r="I14" s="30"/>
      <c r="J14" s="52"/>
      <c r="K14" s="52">
        <f>+J12</f>
        <v>4.9153994220801052E-3</v>
      </c>
      <c r="L14" s="52">
        <f>+K14*(F14/20)</f>
        <v>0.18211554858806789</v>
      </c>
      <c r="M14" s="30"/>
      <c r="N14" s="30"/>
      <c r="O14" s="30"/>
      <c r="P14" s="30"/>
      <c r="Q14" s="30"/>
      <c r="R14" s="30"/>
      <c r="S14" s="30"/>
      <c r="T14" s="30"/>
      <c r="U14" s="30"/>
      <c r="V14" s="32" t="s">
        <v>117</v>
      </c>
      <c r="W14" s="13"/>
    </row>
    <row r="15" spans="2:23" x14ac:dyDescent="0.35">
      <c r="B15" s="12"/>
      <c r="J15" s="54"/>
      <c r="K15" s="54"/>
      <c r="W15" s="13"/>
    </row>
    <row r="16" spans="2:23" ht="15" thickBot="1" x14ac:dyDescent="0.4">
      <c r="B16" s="12"/>
      <c r="K16" s="117" t="s">
        <v>42</v>
      </c>
      <c r="L16" s="71">
        <f>+L12+L14</f>
        <v>0.19686174685430821</v>
      </c>
      <c r="N16" s="179" t="s">
        <v>131</v>
      </c>
      <c r="O16" s="178">
        <f>+E12*40000+(F14/20)*40000</f>
        <v>1602000</v>
      </c>
      <c r="P16" s="2" t="s">
        <v>54</v>
      </c>
      <c r="W16" s="13"/>
    </row>
    <row r="17" spans="2:23" ht="7.9" customHeight="1" thickTop="1" thickBot="1" x14ac:dyDescent="0.4">
      <c r="B17" s="17"/>
      <c r="C17" s="18"/>
      <c r="D17" s="18"/>
      <c r="E17" s="18"/>
      <c r="F17" s="18"/>
      <c r="G17" s="18"/>
      <c r="H17" s="18"/>
      <c r="I17" s="18"/>
      <c r="J17" s="18"/>
      <c r="K17" s="18"/>
      <c r="L17" s="18"/>
      <c r="M17" s="18"/>
      <c r="N17" s="18"/>
      <c r="O17" s="18"/>
      <c r="P17" s="18"/>
      <c r="Q17" s="18"/>
      <c r="R17" s="18"/>
      <c r="S17" s="18"/>
      <c r="T17" s="18"/>
      <c r="U17" s="18"/>
      <c r="V17" s="18"/>
      <c r="W17" s="19"/>
    </row>
  </sheetData>
  <mergeCells count="10">
    <mergeCell ref="G9:H9"/>
    <mergeCell ref="C4:F4"/>
    <mergeCell ref="G4:I4"/>
    <mergeCell ref="J4:L4"/>
    <mergeCell ref="C3:V3"/>
    <mergeCell ref="G5:I8"/>
    <mergeCell ref="J5:L8"/>
    <mergeCell ref="M5:V8"/>
    <mergeCell ref="M9:V9"/>
    <mergeCell ref="C8:F8"/>
  </mergeCells>
  <pageMargins left="0.7" right="0.7" top="0.75" bottom="0.75" header="0.3" footer="0.3"/>
  <pageSetup paperSize="8" scale="34"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1DAFD-AA09-4693-8D06-B8B045351099}">
  <sheetPr>
    <pageSetUpPr fitToPage="1"/>
  </sheetPr>
  <dimension ref="B1:W23"/>
  <sheetViews>
    <sheetView showGridLines="0" zoomScaleNormal="100" workbookViewId="0">
      <selection activeCell="C7" sqref="C7"/>
    </sheetView>
  </sheetViews>
  <sheetFormatPr defaultRowHeight="14.5" x14ac:dyDescent="0.35"/>
  <cols>
    <col min="1" max="1" width="1.7265625" customWidth="1"/>
    <col min="2" max="2" width="1.26953125" customWidth="1"/>
    <col min="3" max="3" width="45.7265625" customWidth="1"/>
    <col min="4" max="4" width="15.453125" customWidth="1"/>
    <col min="5" max="6" width="15.54296875" customWidth="1"/>
    <col min="7" max="7" width="35.7265625" customWidth="1"/>
    <col min="8" max="8" width="25.7265625" customWidth="1"/>
    <col min="9" max="9" width="50.54296875" customWidth="1"/>
    <col min="10" max="13" width="25.7265625" customWidth="1"/>
    <col min="14" max="14" width="36.26953125" customWidth="1"/>
    <col min="15" max="22" width="25.7265625" customWidth="1"/>
    <col min="23" max="23" width="1.81640625" customWidth="1"/>
  </cols>
  <sheetData>
    <row r="1" spans="2:23" ht="7.15"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183</v>
      </c>
      <c r="D7" s="7"/>
      <c r="E7" s="25">
        <v>29188947</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184</v>
      </c>
      <c r="H9" s="307"/>
      <c r="I9" s="152" t="s">
        <v>185</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155" t="s">
        <v>111</v>
      </c>
      <c r="W10" s="13"/>
    </row>
    <row r="11" spans="2:23" x14ac:dyDescent="0.35">
      <c r="B11" s="12"/>
      <c r="C11" s="5" t="s">
        <v>112</v>
      </c>
      <c r="D11" s="3"/>
      <c r="E11" s="3"/>
      <c r="F11" s="44"/>
      <c r="G11" s="151" t="s">
        <v>78</v>
      </c>
      <c r="H11" s="151" t="s">
        <v>79</v>
      </c>
      <c r="I11" s="151" t="s">
        <v>113</v>
      </c>
      <c r="J11" s="50"/>
      <c r="K11" s="35"/>
      <c r="L11" s="35"/>
      <c r="M11" s="37" t="s">
        <v>107</v>
      </c>
      <c r="N11" s="37" t="s">
        <v>108</v>
      </c>
      <c r="O11" s="37" t="s">
        <v>109</v>
      </c>
      <c r="P11" s="37" t="s">
        <v>110</v>
      </c>
      <c r="Q11" s="37" t="s">
        <v>114</v>
      </c>
      <c r="R11" s="37" t="s">
        <v>115</v>
      </c>
      <c r="S11" s="37" t="s">
        <v>115</v>
      </c>
      <c r="T11" s="37" t="s">
        <v>115</v>
      </c>
      <c r="U11" s="37" t="s">
        <v>115</v>
      </c>
      <c r="V11" s="155" t="s">
        <v>115</v>
      </c>
      <c r="W11" s="13"/>
    </row>
    <row r="12" spans="2:23" x14ac:dyDescent="0.35">
      <c r="B12" s="12"/>
      <c r="C12" s="1"/>
      <c r="D12" s="26" t="s">
        <v>120</v>
      </c>
      <c r="E12" s="88">
        <v>35</v>
      </c>
      <c r="F12" s="27" t="s">
        <v>43</v>
      </c>
      <c r="G12" s="49"/>
      <c r="H12" s="51" t="s">
        <v>117</v>
      </c>
      <c r="I12" s="49"/>
      <c r="J12" s="52">
        <f>+'Beregning og partsberegning'!H34</f>
        <v>4.9153994220801052E-3</v>
      </c>
      <c r="K12" s="52"/>
      <c r="L12" s="52">
        <f>+J12*E12</f>
        <v>0.17203897977280369</v>
      </c>
      <c r="M12" s="30"/>
      <c r="N12" s="30"/>
      <c r="O12" s="30"/>
      <c r="P12" s="30"/>
      <c r="Q12" s="32" t="s">
        <v>117</v>
      </c>
      <c r="R12" s="30"/>
      <c r="S12" s="30"/>
      <c r="T12" s="30"/>
      <c r="U12" s="30"/>
      <c r="V12" s="30"/>
      <c r="W12" s="13"/>
    </row>
    <row r="13" spans="2:23" x14ac:dyDescent="0.35">
      <c r="B13" s="12"/>
      <c r="C13" s="1"/>
      <c r="D13" s="26" t="s">
        <v>186</v>
      </c>
      <c r="E13" s="88">
        <v>1263</v>
      </c>
      <c r="F13" s="27" t="s">
        <v>43</v>
      </c>
      <c r="G13" s="30"/>
      <c r="H13" s="37" t="s">
        <v>117</v>
      </c>
      <c r="I13" s="30"/>
      <c r="J13" s="52">
        <f>+J12</f>
        <v>4.9153994220801052E-3</v>
      </c>
      <c r="K13" s="52"/>
      <c r="L13" s="52">
        <f>+J13*E13</f>
        <v>6.2081494700871733</v>
      </c>
      <c r="M13" s="30"/>
      <c r="N13" s="30"/>
      <c r="O13" s="32" t="s">
        <v>117</v>
      </c>
      <c r="P13" s="30"/>
      <c r="Q13" s="30"/>
      <c r="R13" s="30"/>
      <c r="S13" s="30"/>
      <c r="T13" s="30"/>
      <c r="U13" s="30"/>
      <c r="V13" s="30"/>
      <c r="W13" s="13"/>
    </row>
    <row r="14" spans="2:23" x14ac:dyDescent="0.35">
      <c r="B14" s="12"/>
      <c r="C14" s="1"/>
      <c r="D14" s="26" t="s">
        <v>187</v>
      </c>
      <c r="E14" s="88">
        <v>15</v>
      </c>
      <c r="F14" s="27" t="s">
        <v>43</v>
      </c>
      <c r="G14" s="30"/>
      <c r="H14" s="37" t="s">
        <v>117</v>
      </c>
      <c r="I14" s="30" t="s">
        <v>43</v>
      </c>
      <c r="J14" s="52">
        <f>+J12</f>
        <v>4.9153994220801052E-3</v>
      </c>
      <c r="K14" s="52"/>
      <c r="L14" s="52">
        <f>+J14*E14</f>
        <v>7.3730991331201576E-2</v>
      </c>
      <c r="M14" s="30"/>
      <c r="N14" s="30"/>
      <c r="O14" s="30"/>
      <c r="P14" s="32" t="s">
        <v>117</v>
      </c>
      <c r="Q14" s="30"/>
      <c r="R14" s="30"/>
      <c r="S14" s="30"/>
      <c r="T14" s="30"/>
      <c r="U14" s="30"/>
      <c r="V14" s="30"/>
      <c r="W14" s="13"/>
    </row>
    <row r="15" spans="2:23" x14ac:dyDescent="0.35">
      <c r="B15" s="12"/>
      <c r="C15" s="1"/>
      <c r="D15" s="26" t="s">
        <v>188</v>
      </c>
      <c r="E15" s="88">
        <v>10</v>
      </c>
      <c r="F15" s="27" t="s">
        <v>43</v>
      </c>
      <c r="G15" s="37" t="s">
        <v>117</v>
      </c>
      <c r="H15" s="37"/>
      <c r="I15" s="30"/>
      <c r="J15" s="52">
        <f>+'Beregning og partsberegning'!F34</f>
        <v>2.015313763052843E-2</v>
      </c>
      <c r="K15" s="52"/>
      <c r="L15" s="52">
        <f>+J15*E15</f>
        <v>0.20153137630528428</v>
      </c>
      <c r="M15" s="30"/>
      <c r="N15" s="30"/>
      <c r="O15" s="32" t="s">
        <v>117</v>
      </c>
      <c r="P15" s="30"/>
      <c r="Q15" s="30"/>
      <c r="R15" s="30"/>
      <c r="S15" s="30"/>
      <c r="T15" s="30"/>
      <c r="U15" s="30"/>
      <c r="V15" s="30"/>
      <c r="W15" s="13"/>
    </row>
    <row r="16" spans="2:23" ht="29" x14ac:dyDescent="0.35">
      <c r="B16" s="12"/>
      <c r="C16" s="1"/>
      <c r="D16" s="26" t="s">
        <v>189</v>
      </c>
      <c r="E16" s="88">
        <v>707</v>
      </c>
      <c r="F16" s="27" t="s">
        <v>43</v>
      </c>
      <c r="G16" s="37" t="s">
        <v>117</v>
      </c>
      <c r="H16" s="37"/>
      <c r="I16" s="30"/>
      <c r="J16" s="52">
        <f>+J15</f>
        <v>2.015313763052843E-2</v>
      </c>
      <c r="K16" s="52"/>
      <c r="L16" s="52">
        <f>+J16*E16</f>
        <v>14.248268304783601</v>
      </c>
      <c r="M16" s="30"/>
      <c r="N16" s="32" t="s">
        <v>117</v>
      </c>
      <c r="O16" s="30"/>
      <c r="P16" s="30"/>
      <c r="Q16" s="30"/>
      <c r="R16" s="30"/>
      <c r="S16" s="30"/>
      <c r="T16" s="30"/>
      <c r="U16" s="30"/>
      <c r="V16" s="30"/>
      <c r="W16" s="13"/>
    </row>
    <row r="17" spans="2:23" x14ac:dyDescent="0.35">
      <c r="B17" s="12"/>
      <c r="C17" s="5" t="s">
        <v>129</v>
      </c>
      <c r="D17" s="3"/>
      <c r="E17" s="89"/>
      <c r="F17" s="21"/>
      <c r="G17" s="33"/>
      <c r="H17" s="46"/>
      <c r="I17" s="33"/>
      <c r="J17" s="53"/>
      <c r="K17" s="53"/>
      <c r="L17" s="53"/>
      <c r="M17" s="33"/>
      <c r="N17" s="33"/>
      <c r="O17" s="33"/>
      <c r="P17" s="33"/>
      <c r="Q17" s="33"/>
      <c r="R17" s="33"/>
      <c r="S17" s="33"/>
      <c r="T17" s="33"/>
      <c r="U17" s="33"/>
      <c r="V17" s="33"/>
      <c r="W17" s="13"/>
    </row>
    <row r="18" spans="2:23" x14ac:dyDescent="0.35">
      <c r="B18" s="12"/>
      <c r="C18" s="1"/>
      <c r="D18" s="26" t="s">
        <v>190</v>
      </c>
      <c r="E18" s="88">
        <v>1178</v>
      </c>
      <c r="F18" s="84">
        <v>6346.9999999999718</v>
      </c>
      <c r="G18" s="30"/>
      <c r="H18" s="37" t="s">
        <v>117</v>
      </c>
      <c r="I18" s="30"/>
      <c r="J18" s="52"/>
      <c r="K18" s="52">
        <f>+J13</f>
        <v>4.9153994220801052E-3</v>
      </c>
      <c r="L18" s="52">
        <f>+K18*(F18/20)</f>
        <v>1.5599020065971145</v>
      </c>
      <c r="M18" s="30"/>
      <c r="N18" s="30"/>
      <c r="O18" s="30"/>
      <c r="P18" s="30"/>
      <c r="R18" s="30"/>
      <c r="S18" s="30"/>
      <c r="T18" s="30"/>
      <c r="U18" s="30"/>
      <c r="V18" s="32" t="s">
        <v>117</v>
      </c>
      <c r="W18" s="13"/>
    </row>
    <row r="19" spans="2:23" x14ac:dyDescent="0.35">
      <c r="B19" s="12"/>
      <c r="C19" s="1"/>
      <c r="D19" s="26" t="s">
        <v>151</v>
      </c>
      <c r="E19" s="88">
        <v>819</v>
      </c>
      <c r="F19" s="84">
        <v>21925.199999999983</v>
      </c>
      <c r="G19" s="30"/>
      <c r="H19" s="37" t="s">
        <v>117</v>
      </c>
      <c r="I19" s="30"/>
      <c r="J19" s="52" t="s">
        <v>43</v>
      </c>
      <c r="K19" s="52">
        <f>+K18</f>
        <v>4.9153994220801052E-3</v>
      </c>
      <c r="L19" s="52">
        <f>+K19*(F19/20)</f>
        <v>5.3885557704495319</v>
      </c>
      <c r="M19" s="30"/>
      <c r="N19" s="30"/>
      <c r="O19" s="30"/>
      <c r="P19" s="30"/>
      <c r="Q19" s="30"/>
      <c r="R19" s="30"/>
      <c r="S19" s="30"/>
      <c r="T19" s="30"/>
      <c r="U19" s="32" t="s">
        <v>117</v>
      </c>
      <c r="V19" s="30"/>
      <c r="W19" s="13"/>
    </row>
    <row r="20" spans="2:23" x14ac:dyDescent="0.35">
      <c r="B20" s="12"/>
      <c r="J20" s="54"/>
      <c r="K20" s="54"/>
      <c r="L20" s="54"/>
      <c r="W20" s="13"/>
    </row>
    <row r="21" spans="2:23" ht="15" thickBot="1" x14ac:dyDescent="0.4">
      <c r="B21" s="12"/>
      <c r="J21" s="54"/>
      <c r="K21" s="71" t="s">
        <v>42</v>
      </c>
      <c r="L21" s="71">
        <f>+SUM(L12:L19)</f>
        <v>27.852176899326707</v>
      </c>
      <c r="M21" s="94"/>
      <c r="N21" s="179" t="s">
        <v>131</v>
      </c>
      <c r="O21" s="178">
        <f>40000*E12+25000*E13+35000*E14+25000*E15+15000*E16+(F18/20)*40000+(F19/20)*35000</f>
        <v>95418099.999999911</v>
      </c>
      <c r="P21" s="2" t="s">
        <v>54</v>
      </c>
      <c r="Q21" s="94"/>
      <c r="R21" s="94"/>
      <c r="S21" s="94"/>
      <c r="T21" s="94"/>
      <c r="U21" s="94"/>
      <c r="V21" s="94"/>
      <c r="W21" s="13"/>
    </row>
    <row r="22" spans="2:23" ht="10.9" customHeight="1" thickTop="1" thickBot="1" x14ac:dyDescent="0.4">
      <c r="B22" s="17"/>
      <c r="C22" s="18"/>
      <c r="D22" s="18"/>
      <c r="E22" s="18"/>
      <c r="F22" s="18"/>
      <c r="G22" s="18"/>
      <c r="H22" s="18"/>
      <c r="I22" s="18"/>
      <c r="J22" s="18"/>
      <c r="K22" s="18"/>
      <c r="L22" s="18"/>
      <c r="M22" s="18"/>
      <c r="N22" s="18"/>
      <c r="O22" s="18"/>
      <c r="P22" s="18"/>
      <c r="Q22" s="18"/>
      <c r="R22" s="18"/>
      <c r="S22" s="18"/>
      <c r="T22" s="18"/>
      <c r="U22" s="18"/>
      <c r="V22" s="18"/>
      <c r="W22" s="19"/>
    </row>
    <row r="23" spans="2:23" x14ac:dyDescent="0.35">
      <c r="G23" t="s">
        <v>43</v>
      </c>
    </row>
  </sheetData>
  <mergeCells count="10">
    <mergeCell ref="G9:H9"/>
    <mergeCell ref="C4:F4"/>
    <mergeCell ref="G4:I4"/>
    <mergeCell ref="J4:L4"/>
    <mergeCell ref="C3:V3"/>
    <mergeCell ref="M5:V8"/>
    <mergeCell ref="M9:V9"/>
    <mergeCell ref="J5:L8"/>
    <mergeCell ref="G5:I8"/>
    <mergeCell ref="C8:F8"/>
  </mergeCells>
  <pageMargins left="0.7" right="0.7" top="0.75" bottom="0.75" header="0.3" footer="0.3"/>
  <pageSetup paperSize="8" scale="3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6E64C-BA09-4362-ABC2-619B268C23DE}">
  <sheetPr>
    <pageSetUpPr fitToPage="1"/>
  </sheetPr>
  <dimension ref="B1:J21"/>
  <sheetViews>
    <sheetView showGridLines="0" zoomScale="107" zoomScaleNormal="107" workbookViewId="0">
      <selection activeCell="C7" sqref="C7"/>
    </sheetView>
  </sheetViews>
  <sheetFormatPr defaultRowHeight="14.5" x14ac:dyDescent="0.35"/>
  <cols>
    <col min="1" max="1" width="1.453125" customWidth="1"/>
    <col min="2" max="2" width="1" customWidth="1"/>
    <col min="3" max="3" width="45.7265625" customWidth="1"/>
    <col min="4" max="4" width="31.1796875" customWidth="1"/>
    <col min="5" max="6" width="15.7265625" customWidth="1"/>
    <col min="7" max="9" width="25.7265625" customWidth="1"/>
    <col min="10" max="10" width="1.26953125" customWidth="1"/>
  </cols>
  <sheetData>
    <row r="1" spans="2:10" ht="5.5" customHeight="1" thickBot="1" x14ac:dyDescent="0.4"/>
    <row r="2" spans="2:10" ht="5.5" customHeight="1" x14ac:dyDescent="0.35">
      <c r="B2" s="9"/>
      <c r="C2" s="10"/>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183</v>
      </c>
      <c r="D7" s="7"/>
      <c r="E7" s="25">
        <v>29188947</v>
      </c>
      <c r="F7" s="24"/>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40"/>
      <c r="D10" s="3"/>
      <c r="E10" s="3"/>
      <c r="F10" s="3"/>
      <c r="G10" s="3"/>
      <c r="H10" s="3"/>
      <c r="I10" s="3"/>
      <c r="J10" s="13"/>
    </row>
    <row r="11" spans="2:10" x14ac:dyDescent="0.35">
      <c r="B11" s="12"/>
      <c r="C11" s="5" t="s">
        <v>112</v>
      </c>
      <c r="D11" s="3"/>
      <c r="E11" s="3"/>
      <c r="F11" s="3"/>
      <c r="G11" s="3"/>
      <c r="H11" s="3"/>
      <c r="I11" s="3"/>
      <c r="J11" s="13"/>
    </row>
    <row r="12" spans="2:10" x14ac:dyDescent="0.35">
      <c r="B12" s="12"/>
      <c r="C12" s="1"/>
      <c r="D12" s="26" t="s">
        <v>120</v>
      </c>
      <c r="E12" s="26">
        <v>15</v>
      </c>
      <c r="F12" s="27">
        <v>0</v>
      </c>
      <c r="G12" s="52">
        <f>+'Beregning og partsberegning'!H34</f>
        <v>4.9153994220801052E-3</v>
      </c>
      <c r="H12" s="52"/>
      <c r="I12" s="52">
        <f>+E12*G12</f>
        <v>7.3730991331201576E-2</v>
      </c>
      <c r="J12" s="13"/>
    </row>
    <row r="13" spans="2:10" x14ac:dyDescent="0.35">
      <c r="B13" s="12"/>
      <c r="C13" s="1"/>
      <c r="D13" s="26" t="s">
        <v>186</v>
      </c>
      <c r="E13" s="26">
        <v>481</v>
      </c>
      <c r="F13" s="27">
        <v>0</v>
      </c>
      <c r="G13" s="52">
        <f>+'Beregning og partsberegning'!H34</f>
        <v>4.9153994220801052E-3</v>
      </c>
      <c r="H13" s="52"/>
      <c r="I13" s="52">
        <f>+G13*E13</f>
        <v>2.3643071220205307</v>
      </c>
      <c r="J13" s="13"/>
    </row>
    <row r="14" spans="2:10" x14ac:dyDescent="0.35">
      <c r="B14" s="12"/>
      <c r="C14" s="1"/>
      <c r="D14" s="26" t="s">
        <v>189</v>
      </c>
      <c r="E14" s="26">
        <v>393</v>
      </c>
      <c r="F14" s="27">
        <v>0</v>
      </c>
      <c r="G14" s="52">
        <f>+G13</f>
        <v>4.9153994220801052E-3</v>
      </c>
      <c r="H14" s="52"/>
      <c r="I14" s="52">
        <f>+G14*E14</f>
        <v>1.9317519728774815</v>
      </c>
      <c r="J14" s="13"/>
    </row>
    <row r="15" spans="2:10" x14ac:dyDescent="0.35">
      <c r="B15" s="12"/>
      <c r="C15" s="5" t="s">
        <v>129</v>
      </c>
      <c r="D15" s="3"/>
      <c r="E15" s="21"/>
      <c r="F15" s="21"/>
      <c r="G15" s="53"/>
      <c r="H15" s="53"/>
      <c r="I15" s="53"/>
      <c r="J15" s="13"/>
    </row>
    <row r="16" spans="2:10" x14ac:dyDescent="0.35">
      <c r="B16" s="12"/>
      <c r="C16" s="1"/>
      <c r="D16" s="26" t="s">
        <v>190</v>
      </c>
      <c r="E16" s="26">
        <v>462</v>
      </c>
      <c r="F16" s="27">
        <v>2402.6000000000113</v>
      </c>
      <c r="G16" s="52"/>
      <c r="H16" s="52">
        <f>+G12</f>
        <v>4.9153994220801052E-3</v>
      </c>
      <c r="I16" s="52">
        <f>+H16*(F16/20)</f>
        <v>0.59048693257448581</v>
      </c>
      <c r="J16" s="13"/>
    </row>
    <row r="17" spans="2:10" x14ac:dyDescent="0.35">
      <c r="B17" s="12"/>
      <c r="C17" s="1"/>
      <c r="D17" s="26" t="s">
        <v>151</v>
      </c>
      <c r="E17" s="26">
        <v>453</v>
      </c>
      <c r="F17" s="27">
        <v>11119.599999999988</v>
      </c>
      <c r="G17" s="52"/>
      <c r="H17" s="52">
        <f>+H16</f>
        <v>4.9153994220801052E-3</v>
      </c>
      <c r="I17" s="52">
        <f>+H17*(F17/20)</f>
        <v>2.7328637706880938</v>
      </c>
      <c r="J17" s="13"/>
    </row>
    <row r="18" spans="2:10" x14ac:dyDescent="0.35">
      <c r="B18" s="12"/>
      <c r="J18" s="13"/>
    </row>
    <row r="19" spans="2:10" ht="15" thickBot="1" x14ac:dyDescent="0.4">
      <c r="B19" s="12"/>
      <c r="D19" s="179" t="s">
        <v>131</v>
      </c>
      <c r="E19" s="178">
        <f>40000*E12+25000*E13+E14*15000+(F16/20)*40000+(F17/20)*35000</f>
        <v>42784500</v>
      </c>
      <c r="F19" s="2" t="s">
        <v>54</v>
      </c>
      <c r="H19" s="117" t="s">
        <v>42</v>
      </c>
      <c r="I19" s="103">
        <f>+SUM(I12:I17)</f>
        <v>7.6931407894917934</v>
      </c>
      <c r="J19" s="104"/>
    </row>
    <row r="20" spans="2:10" ht="7.9" customHeight="1" thickTop="1" thickBot="1" x14ac:dyDescent="0.4">
      <c r="B20" s="17"/>
      <c r="C20" s="18"/>
      <c r="D20" s="18"/>
      <c r="E20" s="18"/>
      <c r="F20" s="18"/>
      <c r="G20" s="18"/>
      <c r="H20" s="18"/>
      <c r="I20" s="18"/>
      <c r="J20" s="19"/>
    </row>
    <row r="21" spans="2:10" ht="7.9" customHeight="1" x14ac:dyDescent="0.35"/>
  </sheetData>
  <mergeCells count="6">
    <mergeCell ref="C4:F4"/>
    <mergeCell ref="G4:I4"/>
    <mergeCell ref="C3:I3"/>
    <mergeCell ref="G5:I8"/>
    <mergeCell ref="C8:F8"/>
    <mergeCell ref="C5:F5"/>
  </mergeCells>
  <pageMargins left="0.7" right="0.7" top="0.75" bottom="0.75" header="0.3" footer="0.3"/>
  <pageSetup paperSize="8"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5636C-F859-42CA-8F5A-DCAEF1BEB53A}">
  <sheetPr>
    <pageSetUpPr fitToPage="1"/>
  </sheetPr>
  <dimension ref="B1:J18"/>
  <sheetViews>
    <sheetView showGridLines="0" zoomScale="98" zoomScaleNormal="98" workbookViewId="0">
      <selection activeCell="C7" sqref="C7"/>
    </sheetView>
  </sheetViews>
  <sheetFormatPr defaultRowHeight="14.5" x14ac:dyDescent="0.35"/>
  <cols>
    <col min="1" max="1" width="1.26953125" customWidth="1"/>
    <col min="2" max="2" width="1.7265625" customWidth="1"/>
    <col min="3" max="3" width="61.81640625" customWidth="1"/>
    <col min="4" max="4" width="25.7265625" customWidth="1"/>
    <col min="5" max="6" width="15.7265625" customWidth="1"/>
    <col min="7" max="9" width="25.7265625" customWidth="1"/>
    <col min="10" max="10" width="1.7265625" customWidth="1"/>
  </cols>
  <sheetData>
    <row r="1" spans="2:10" ht="7.15" customHeight="1" thickBot="1" x14ac:dyDescent="0.4"/>
    <row r="2" spans="2:10" ht="6" customHeight="1" x14ac:dyDescent="0.35">
      <c r="B2" s="9" t="s">
        <v>43</v>
      </c>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141</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183</v>
      </c>
      <c r="D7" s="7"/>
      <c r="E7" s="25">
        <v>29188947</v>
      </c>
      <c r="F7" s="31"/>
      <c r="G7" s="282"/>
      <c r="H7" s="283"/>
      <c r="I7" s="284"/>
      <c r="J7" s="13"/>
    </row>
    <row r="8" spans="2:10" ht="49.9" customHeight="1" x14ac:dyDescent="0.35">
      <c r="B8" s="12"/>
      <c r="C8" s="311" t="s">
        <v>159</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3"/>
      <c r="D10" s="3"/>
      <c r="E10" s="3"/>
      <c r="F10" s="3"/>
      <c r="G10" s="3"/>
      <c r="H10" s="3"/>
      <c r="I10" s="3"/>
      <c r="J10" s="13"/>
    </row>
    <row r="11" spans="2:10" x14ac:dyDescent="0.35">
      <c r="B11" s="12"/>
      <c r="C11" s="5" t="s">
        <v>112</v>
      </c>
      <c r="D11" s="3"/>
      <c r="E11" s="3"/>
      <c r="F11" s="3"/>
      <c r="G11" s="3"/>
      <c r="H11" s="3"/>
      <c r="I11" s="3"/>
      <c r="J11" s="13"/>
    </row>
    <row r="12" spans="2:10" ht="30" customHeight="1" x14ac:dyDescent="0.35">
      <c r="B12" s="12"/>
      <c r="C12" s="1"/>
      <c r="D12" s="26" t="s">
        <v>120</v>
      </c>
      <c r="E12" s="26">
        <v>1</v>
      </c>
      <c r="F12" s="27" t="s">
        <v>43</v>
      </c>
      <c r="G12" s="34">
        <f>+'Beregning og partsberegning'!H45</f>
        <v>1E-3</v>
      </c>
      <c r="H12" s="34"/>
      <c r="I12" s="34">
        <f t="shared" ref="I12" si="0">+G12*E12</f>
        <v>1E-3</v>
      </c>
      <c r="J12" s="13"/>
    </row>
    <row r="13" spans="2:10" x14ac:dyDescent="0.35">
      <c r="B13" s="12"/>
      <c r="C13" s="5" t="s">
        <v>129</v>
      </c>
      <c r="D13" s="3"/>
      <c r="E13" s="21"/>
      <c r="F13" s="87"/>
      <c r="G13" s="60"/>
      <c r="H13" s="60"/>
      <c r="I13" s="60"/>
      <c r="J13" s="13"/>
    </row>
    <row r="14" spans="2:10" x14ac:dyDescent="0.35">
      <c r="B14" s="12"/>
      <c r="C14" s="1"/>
      <c r="D14" s="26" t="s">
        <v>191</v>
      </c>
      <c r="E14" s="26">
        <v>1</v>
      </c>
      <c r="F14" s="161">
        <v>1285.7</v>
      </c>
      <c r="G14" s="36"/>
      <c r="H14" s="34">
        <f>+G12</f>
        <v>1E-3</v>
      </c>
      <c r="I14" s="34">
        <f>+H14*(F14/20)</f>
        <v>6.4284999999999995E-2</v>
      </c>
      <c r="J14" s="13"/>
    </row>
    <row r="15" spans="2:10" x14ac:dyDescent="0.35">
      <c r="B15" s="12"/>
      <c r="C15" s="2"/>
      <c r="D15" s="67"/>
      <c r="E15" s="67"/>
      <c r="H15" s="75"/>
      <c r="I15" s="75"/>
      <c r="J15" s="13"/>
    </row>
    <row r="16" spans="2:10" ht="15" thickBot="1" x14ac:dyDescent="0.4">
      <c r="B16" s="12"/>
      <c r="H16" s="120" t="s">
        <v>42</v>
      </c>
      <c r="I16" s="68">
        <f>+SUM(I12:I14)</f>
        <v>6.5284999999999996E-2</v>
      </c>
      <c r="J16" s="13"/>
    </row>
    <row r="17" spans="2:10" ht="9" customHeight="1" thickTop="1" thickBot="1" x14ac:dyDescent="0.4">
      <c r="B17" s="17"/>
      <c r="C17" s="18"/>
      <c r="D17" s="18"/>
      <c r="E17" s="18"/>
      <c r="F17" s="18"/>
      <c r="G17" s="18"/>
      <c r="H17" s="18"/>
      <c r="I17" s="18"/>
      <c r="J17" s="19"/>
    </row>
    <row r="18" spans="2:10" ht="9" customHeight="1" x14ac:dyDescent="0.35"/>
  </sheetData>
  <mergeCells count="6">
    <mergeCell ref="C3:I3"/>
    <mergeCell ref="C4:F4"/>
    <mergeCell ref="G4:I4"/>
    <mergeCell ref="C5:F5"/>
    <mergeCell ref="G5:I8"/>
    <mergeCell ref="C8:F8"/>
  </mergeCells>
  <pageMargins left="0.7" right="0.7" top="0.75" bottom="0.75" header="0.3" footer="0.3"/>
  <pageSetup paperSize="8" scale="96"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942F5-FD38-4A8A-80C6-2FFD74F527D0}">
  <sheetPr>
    <pageSetUpPr fitToPage="1"/>
  </sheetPr>
  <dimension ref="B1:W22"/>
  <sheetViews>
    <sheetView showGridLines="0" zoomScale="80" zoomScaleNormal="80" workbookViewId="0">
      <selection activeCell="C7" sqref="C7"/>
    </sheetView>
  </sheetViews>
  <sheetFormatPr defaultRowHeight="14.5" x14ac:dyDescent="0.35"/>
  <cols>
    <col min="1" max="1" width="1.54296875" customWidth="1"/>
    <col min="2" max="2" width="1.453125" customWidth="1"/>
    <col min="3" max="3" width="45.7265625" customWidth="1"/>
    <col min="4" max="4" width="15.453125" customWidth="1"/>
    <col min="5" max="6" width="15.54296875" customWidth="1"/>
    <col min="7" max="7" width="35.7265625" customWidth="1"/>
    <col min="8" max="8" width="25.7265625" customWidth="1"/>
    <col min="9" max="9" width="50.54296875" customWidth="1"/>
    <col min="10" max="13" width="25.7265625" customWidth="1"/>
    <col min="14" max="14" width="34.1796875" customWidth="1"/>
    <col min="15" max="22" width="25.7265625" customWidth="1"/>
    <col min="23" max="23" width="1.54296875" customWidth="1"/>
  </cols>
  <sheetData>
    <row r="1" spans="2:23" ht="5.5" customHeight="1" thickBot="1" x14ac:dyDescent="0.4"/>
    <row r="2" spans="2:23" ht="8.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33</v>
      </c>
      <c r="D7" s="7"/>
      <c r="E7" s="25">
        <v>42405310</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192</v>
      </c>
      <c r="H9" s="307"/>
      <c r="I9" s="152" t="s">
        <v>193</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x14ac:dyDescent="0.35">
      <c r="B12" s="12"/>
      <c r="C12" s="1"/>
      <c r="D12" s="26" t="s">
        <v>123</v>
      </c>
      <c r="E12" s="88">
        <v>26</v>
      </c>
      <c r="F12" s="27" t="s">
        <v>43</v>
      </c>
      <c r="G12" s="37" t="s">
        <v>117</v>
      </c>
      <c r="H12" s="37"/>
      <c r="I12" s="37" t="s">
        <v>117</v>
      </c>
      <c r="J12" s="52">
        <f>+'Beregning og partsberegning'!F35</f>
        <v>5.3741700348075808E-2</v>
      </c>
      <c r="K12" s="52"/>
      <c r="L12" s="52">
        <f>+E12*J12</f>
        <v>1.3972842090499711</v>
      </c>
      <c r="M12" s="30"/>
      <c r="N12" s="30"/>
      <c r="O12" s="30"/>
      <c r="P12" s="30"/>
      <c r="Q12" s="32" t="s">
        <v>117</v>
      </c>
      <c r="R12" s="30"/>
      <c r="S12" s="30"/>
      <c r="T12" s="30"/>
      <c r="U12" s="30"/>
      <c r="V12" s="30"/>
      <c r="W12" s="13"/>
    </row>
    <row r="13" spans="2:23" x14ac:dyDescent="0.35">
      <c r="B13" s="12"/>
      <c r="C13" s="5" t="s">
        <v>129</v>
      </c>
      <c r="D13" s="3"/>
      <c r="E13" s="89"/>
      <c r="F13" s="21"/>
      <c r="G13" s="33"/>
      <c r="H13" s="33"/>
      <c r="I13" s="33"/>
      <c r="J13" s="53"/>
      <c r="K13" s="53"/>
      <c r="L13" s="53"/>
      <c r="M13" s="33"/>
      <c r="N13" s="33"/>
      <c r="O13" s="33"/>
      <c r="P13" s="33"/>
      <c r="Q13" s="33"/>
      <c r="R13" s="33"/>
      <c r="S13" s="33"/>
      <c r="T13" s="33"/>
      <c r="U13" s="33"/>
      <c r="V13" s="33"/>
      <c r="W13" s="13"/>
    </row>
    <row r="14" spans="2:23" x14ac:dyDescent="0.35">
      <c r="B14" s="12"/>
      <c r="C14" s="1"/>
      <c r="D14" s="26" t="s">
        <v>155</v>
      </c>
      <c r="E14" s="88">
        <v>2731</v>
      </c>
      <c r="F14" s="84">
        <v>28088.600000000042</v>
      </c>
      <c r="G14" s="30"/>
      <c r="H14" s="37" t="s">
        <v>117</v>
      </c>
      <c r="I14" s="30"/>
      <c r="J14" s="52"/>
      <c r="K14" s="52">
        <f>+'Beregning og partsberegning'!H34</f>
        <v>4.9153994220801052E-3</v>
      </c>
      <c r="L14" s="52">
        <f>+K14*(F14/20)</f>
        <v>6.9033344103519729</v>
      </c>
      <c r="M14" s="30"/>
      <c r="N14" s="30"/>
      <c r="O14" s="30"/>
      <c r="P14" s="30"/>
      <c r="Q14" s="30"/>
      <c r="R14" s="30"/>
      <c r="S14" s="32" t="s">
        <v>117</v>
      </c>
      <c r="T14" s="30"/>
      <c r="U14" s="30"/>
      <c r="V14" s="30"/>
      <c r="W14" s="13"/>
    </row>
    <row r="15" spans="2:23" x14ac:dyDescent="0.35">
      <c r="B15" s="12"/>
      <c r="W15" s="13"/>
    </row>
    <row r="16" spans="2:23" ht="15" thickBot="1" x14ac:dyDescent="0.4">
      <c r="B16" s="12"/>
      <c r="K16" s="117" t="s">
        <v>42</v>
      </c>
      <c r="L16" s="105">
        <f>+SUM(L12:L14)</f>
        <v>8.3006186194019449</v>
      </c>
      <c r="M16" s="94"/>
      <c r="N16" s="179" t="s">
        <v>131</v>
      </c>
      <c r="O16" s="178">
        <f>40000*E12+(F14/20)*15000</f>
        <v>22106450.00000003</v>
      </c>
      <c r="P16" s="2" t="s">
        <v>54</v>
      </c>
      <c r="Q16" s="94"/>
      <c r="R16" s="94"/>
      <c r="S16" s="94"/>
      <c r="T16" s="94"/>
      <c r="U16" s="94"/>
      <c r="W16" s="13"/>
    </row>
    <row r="17" spans="2:23" ht="9" customHeight="1" thickTop="1" thickBot="1" x14ac:dyDescent="0.4">
      <c r="B17" s="17"/>
      <c r="C17" s="18"/>
      <c r="D17" s="18"/>
      <c r="E17" s="18"/>
      <c r="F17" s="18"/>
      <c r="G17" s="18"/>
      <c r="H17" s="18"/>
      <c r="I17" s="18"/>
      <c r="J17" s="18"/>
      <c r="K17" s="18"/>
      <c r="L17" s="18"/>
      <c r="M17" s="18"/>
      <c r="N17" s="18"/>
      <c r="O17" s="18"/>
      <c r="P17" s="18"/>
      <c r="Q17" s="18"/>
      <c r="R17" s="18"/>
      <c r="S17" s="18"/>
      <c r="T17" s="18"/>
      <c r="U17" s="18"/>
      <c r="V17" s="18"/>
      <c r="W17" s="19"/>
    </row>
    <row r="18" spans="2:23" ht="9" customHeight="1" x14ac:dyDescent="0.35"/>
    <row r="22" spans="2:23" x14ac:dyDescent="0.35">
      <c r="G22" t="s">
        <v>43</v>
      </c>
    </row>
  </sheetData>
  <mergeCells count="10">
    <mergeCell ref="C3:V3"/>
    <mergeCell ref="G9:H9"/>
    <mergeCell ref="C4:F4"/>
    <mergeCell ref="G4:I4"/>
    <mergeCell ref="J4:L4"/>
    <mergeCell ref="M5:V8"/>
    <mergeCell ref="M9:V9"/>
    <mergeCell ref="J5:L8"/>
    <mergeCell ref="G5:I8"/>
    <mergeCell ref="C8:F8"/>
  </mergeCells>
  <pageMargins left="0.7" right="0.7" top="0.75" bottom="0.75" header="0.3" footer="0.3"/>
  <pageSetup paperSize="8" scale="34"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0AA6B-089F-41CA-957C-8DD478307B3F}">
  <sheetPr>
    <pageSetUpPr fitToPage="1"/>
  </sheetPr>
  <dimension ref="B1:J19"/>
  <sheetViews>
    <sheetView showGridLines="0" zoomScale="106" zoomScaleNormal="106" workbookViewId="0">
      <selection activeCell="C7" sqref="C7"/>
    </sheetView>
  </sheetViews>
  <sheetFormatPr defaultRowHeight="14.5" x14ac:dyDescent="0.35"/>
  <cols>
    <col min="1" max="1" width="1.453125" customWidth="1"/>
    <col min="2" max="2" width="2" customWidth="1"/>
    <col min="3" max="3" width="45.7265625" customWidth="1"/>
    <col min="4" max="4" width="31.54296875" customWidth="1"/>
    <col min="5" max="6" width="15.7265625" customWidth="1"/>
    <col min="7" max="9" width="25.7265625" customWidth="1"/>
    <col min="10" max="10" width="2.26953125" customWidth="1"/>
  </cols>
  <sheetData>
    <row r="1" spans="2:10" ht="6" customHeight="1" thickBot="1" x14ac:dyDescent="0.4"/>
    <row r="2" spans="2:10" ht="6.65" customHeight="1" x14ac:dyDescent="0.35">
      <c r="B2" s="9"/>
      <c r="C2" s="10"/>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33</v>
      </c>
      <c r="D7" s="7"/>
      <c r="E7" s="25">
        <v>42405310</v>
      </c>
      <c r="F7" s="24"/>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40"/>
      <c r="D10" s="3"/>
      <c r="E10" s="3"/>
      <c r="F10" s="3"/>
      <c r="G10" s="3"/>
      <c r="H10" s="3"/>
      <c r="I10" s="3"/>
      <c r="J10" s="13"/>
    </row>
    <row r="11" spans="2:10" x14ac:dyDescent="0.35">
      <c r="B11" s="12"/>
      <c r="C11" s="5" t="s">
        <v>112</v>
      </c>
      <c r="D11" s="3"/>
      <c r="E11" s="3"/>
      <c r="F11" s="3"/>
      <c r="G11" s="3"/>
      <c r="H11" s="3"/>
      <c r="I11" s="3"/>
      <c r="J11" s="13"/>
    </row>
    <row r="12" spans="2:10" x14ac:dyDescent="0.35">
      <c r="B12" s="12"/>
      <c r="C12" s="1"/>
      <c r="D12" s="26" t="s">
        <v>123</v>
      </c>
      <c r="E12" s="100">
        <v>3</v>
      </c>
      <c r="F12" s="27" t="s">
        <v>43</v>
      </c>
      <c r="G12" s="52">
        <f>+'Beregning og partsberegning'!H34</f>
        <v>4.9153994220801052E-3</v>
      </c>
      <c r="H12" s="52"/>
      <c r="I12" s="52">
        <f>+G12*E12</f>
        <v>1.4746198266240317E-2</v>
      </c>
      <c r="J12" s="13"/>
    </row>
    <row r="13" spans="2:10" x14ac:dyDescent="0.35">
      <c r="B13" s="12"/>
      <c r="C13" s="5" t="s">
        <v>129</v>
      </c>
      <c r="D13" s="3"/>
      <c r="E13" s="85"/>
      <c r="F13" s="21"/>
      <c r="G13" s="53"/>
      <c r="H13" s="53"/>
      <c r="I13" s="53"/>
      <c r="J13" s="13"/>
    </row>
    <row r="14" spans="2:10" x14ac:dyDescent="0.35">
      <c r="B14" s="12"/>
      <c r="C14" s="1"/>
      <c r="D14" s="26" t="s">
        <v>155</v>
      </c>
      <c r="E14" s="100">
        <v>1329</v>
      </c>
      <c r="F14" s="84">
        <v>13761.999999999998</v>
      </c>
      <c r="G14" s="52"/>
      <c r="H14" s="52">
        <f>+G12</f>
        <v>4.9153994220801052E-3</v>
      </c>
      <c r="I14" s="52">
        <f>+H14*(F14/20)</f>
        <v>3.38228634233332</v>
      </c>
      <c r="J14" s="13"/>
    </row>
    <row r="15" spans="2:10" x14ac:dyDescent="0.35">
      <c r="B15" s="12"/>
      <c r="G15" s="54"/>
      <c r="J15" s="13"/>
    </row>
    <row r="16" spans="2:10" ht="15" thickBot="1" x14ac:dyDescent="0.4">
      <c r="B16" s="12"/>
      <c r="D16" s="179" t="s">
        <v>131</v>
      </c>
      <c r="E16" s="178">
        <f>40000*E12+(F14/20)*35000</f>
        <v>24203499.999999996</v>
      </c>
      <c r="F16" s="2" t="s">
        <v>54</v>
      </c>
      <c r="H16" s="95" t="s">
        <v>42</v>
      </c>
      <c r="I16" s="71">
        <f>+I12+I14</f>
        <v>3.3970325405995605</v>
      </c>
      <c r="J16" s="13"/>
    </row>
    <row r="17" spans="2:10" ht="6" customHeight="1" thickTop="1" thickBot="1" x14ac:dyDescent="0.4">
      <c r="B17" s="17"/>
      <c r="C17" s="18"/>
      <c r="D17" s="18"/>
      <c r="E17" s="18"/>
      <c r="F17" s="18"/>
      <c r="G17" s="18"/>
      <c r="H17" s="18"/>
      <c r="I17" s="18"/>
      <c r="J17" s="19"/>
    </row>
    <row r="18" spans="2:10" ht="6" customHeight="1" x14ac:dyDescent="0.35"/>
    <row r="19" spans="2:10" ht="6" customHeight="1" x14ac:dyDescent="0.35"/>
  </sheetData>
  <mergeCells count="6">
    <mergeCell ref="C4:F4"/>
    <mergeCell ref="G4:I4"/>
    <mergeCell ref="G5:I8"/>
    <mergeCell ref="C3:I3"/>
    <mergeCell ref="C8:F8"/>
    <mergeCell ref="C5:F5"/>
  </mergeCells>
  <pageMargins left="0.7" right="0.7" top="0.75" bottom="0.75" header="0.3" footer="0.3"/>
  <pageSetup paperSize="8"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FB4BF-4A38-43AD-8B13-0AF003C5CBA9}">
  <sheetPr>
    <pageSetUpPr fitToPage="1"/>
  </sheetPr>
  <dimension ref="B1:W20"/>
  <sheetViews>
    <sheetView showGridLines="0" zoomScaleNormal="100" workbookViewId="0">
      <selection activeCell="C7" sqref="C7"/>
    </sheetView>
  </sheetViews>
  <sheetFormatPr defaultRowHeight="14.5" x14ac:dyDescent="0.35"/>
  <cols>
    <col min="1" max="1" width="1.81640625" customWidth="1"/>
    <col min="2" max="2" width="1.7265625" customWidth="1"/>
    <col min="3" max="3" width="45.7265625" customWidth="1"/>
    <col min="4" max="4" width="15.453125" customWidth="1"/>
    <col min="5" max="6" width="15.54296875" customWidth="1"/>
    <col min="7" max="7" width="35.7265625" customWidth="1"/>
    <col min="8" max="8" width="25.7265625" customWidth="1"/>
    <col min="9" max="9" width="49.54296875" customWidth="1"/>
    <col min="10" max="13" width="25.7265625" customWidth="1"/>
    <col min="14" max="14" width="38.26953125" customWidth="1"/>
    <col min="15" max="22" width="25.7265625" customWidth="1"/>
    <col min="23" max="23" width="1.81640625" customWidth="1"/>
  </cols>
  <sheetData>
    <row r="1" spans="2:23" ht="6"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141" t="s">
        <v>43</v>
      </c>
      <c r="G6" s="291"/>
      <c r="H6" s="292"/>
      <c r="I6" s="293"/>
      <c r="J6" s="282"/>
      <c r="K6" s="283"/>
      <c r="L6" s="284"/>
      <c r="M6" s="299"/>
      <c r="N6" s="299"/>
      <c r="O6" s="299"/>
      <c r="P6" s="299"/>
      <c r="Q6" s="299"/>
      <c r="R6" s="299"/>
      <c r="S6" s="299"/>
      <c r="T6" s="299"/>
      <c r="U6" s="299"/>
      <c r="V6" s="300"/>
      <c r="W6" s="13"/>
    </row>
    <row r="7" spans="2:23" x14ac:dyDescent="0.35">
      <c r="B7" s="12"/>
      <c r="C7" s="25" t="s">
        <v>35</v>
      </c>
      <c r="D7" s="7"/>
      <c r="E7" s="25">
        <v>36423544</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194</v>
      </c>
      <c r="H9" s="307"/>
      <c r="I9" s="152" t="s">
        <v>195</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x14ac:dyDescent="0.35">
      <c r="B12" s="12"/>
      <c r="C12" s="1"/>
      <c r="D12" s="26" t="s">
        <v>196</v>
      </c>
      <c r="E12" s="88">
        <v>10</v>
      </c>
      <c r="F12" s="27" t="s">
        <v>43</v>
      </c>
      <c r="G12" s="30"/>
      <c r="H12" s="37" t="s">
        <v>117</v>
      </c>
      <c r="I12" s="30"/>
      <c r="J12" s="52">
        <f>+'Beregning og partsberegning'!H34</f>
        <v>4.9153994220801052E-3</v>
      </c>
      <c r="K12" s="52"/>
      <c r="L12" s="52">
        <f>+J12*E12</f>
        <v>4.9153994220801051E-2</v>
      </c>
      <c r="M12" s="30"/>
      <c r="N12" s="30"/>
      <c r="O12" s="30"/>
      <c r="P12" s="32" t="s">
        <v>117</v>
      </c>
      <c r="Q12" s="30"/>
      <c r="R12" s="30"/>
      <c r="S12" s="30"/>
      <c r="T12" s="30"/>
      <c r="U12" s="30"/>
      <c r="V12" s="30"/>
      <c r="W12" s="13"/>
    </row>
    <row r="13" spans="2:23" x14ac:dyDescent="0.35">
      <c r="B13" s="12"/>
      <c r="C13" s="1"/>
      <c r="D13" s="26" t="s">
        <v>123</v>
      </c>
      <c r="E13" s="88">
        <v>16</v>
      </c>
      <c r="F13" s="27" t="s">
        <v>43</v>
      </c>
      <c r="G13" s="37" t="s">
        <v>117</v>
      </c>
      <c r="H13" s="30"/>
      <c r="I13" s="37" t="s">
        <v>117</v>
      </c>
      <c r="J13" s="52">
        <f>+'Beregning og partsberegning'!F35</f>
        <v>5.3741700348075808E-2</v>
      </c>
      <c r="K13" s="52"/>
      <c r="L13" s="52">
        <f>+J13*E13</f>
        <v>0.85986720556921292</v>
      </c>
      <c r="M13" s="30"/>
      <c r="N13" s="30"/>
      <c r="O13" s="30"/>
      <c r="P13" s="30"/>
      <c r="Q13" s="32" t="s">
        <v>117</v>
      </c>
      <c r="R13" s="30"/>
      <c r="S13" s="30"/>
      <c r="T13" s="30"/>
      <c r="U13" s="30"/>
      <c r="V13" s="30"/>
      <c r="W13" s="13"/>
    </row>
    <row r="14" spans="2:23" x14ac:dyDescent="0.35">
      <c r="B14" s="12"/>
      <c r="C14" s="5" t="s">
        <v>129</v>
      </c>
      <c r="D14" s="3"/>
      <c r="E14" s="89"/>
      <c r="F14" s="21"/>
      <c r="G14" s="33"/>
      <c r="H14" s="33"/>
      <c r="I14" s="33"/>
      <c r="J14" s="53"/>
      <c r="K14" s="53"/>
      <c r="L14" s="53"/>
      <c r="M14" s="33"/>
      <c r="N14" s="33"/>
      <c r="O14" s="33"/>
      <c r="P14" s="33"/>
      <c r="Q14" s="33"/>
      <c r="R14" s="33"/>
      <c r="S14" s="33"/>
      <c r="T14" s="33"/>
      <c r="U14" s="33"/>
      <c r="V14" s="33"/>
      <c r="W14" s="13"/>
    </row>
    <row r="15" spans="2:23" x14ac:dyDescent="0.35">
      <c r="B15" s="12"/>
      <c r="C15" s="1"/>
      <c r="D15" s="26" t="s">
        <v>155</v>
      </c>
      <c r="E15" s="88">
        <v>26</v>
      </c>
      <c r="F15" s="84">
        <v>1041.4000000000001</v>
      </c>
      <c r="G15" s="30"/>
      <c r="H15" s="37" t="s">
        <v>117</v>
      </c>
      <c r="I15" s="30"/>
      <c r="J15" s="52"/>
      <c r="K15" s="52">
        <f>+J12</f>
        <v>4.9153994220801052E-3</v>
      </c>
      <c r="L15" s="52">
        <f>+K15*(F15/20)</f>
        <v>0.2559448479077111</v>
      </c>
      <c r="M15" s="30"/>
      <c r="N15" s="30"/>
      <c r="O15" s="30"/>
      <c r="P15" s="30"/>
      <c r="Q15" s="30"/>
      <c r="R15" s="30"/>
      <c r="S15" s="30"/>
      <c r="T15" s="30"/>
      <c r="U15" s="32" t="s">
        <v>117</v>
      </c>
      <c r="V15" s="30"/>
      <c r="W15" s="13"/>
    </row>
    <row r="16" spans="2:23" x14ac:dyDescent="0.35">
      <c r="B16" s="12"/>
      <c r="J16" s="54"/>
      <c r="W16" s="13"/>
    </row>
    <row r="17" spans="2:23" ht="15" thickBot="1" x14ac:dyDescent="0.4">
      <c r="B17" s="12"/>
      <c r="K17" s="95" t="s">
        <v>42</v>
      </c>
      <c r="L17" s="71">
        <f>+SUM(L12:L15)</f>
        <v>1.164966047697725</v>
      </c>
      <c r="N17" s="179" t="s">
        <v>131</v>
      </c>
      <c r="O17" s="178">
        <f>35000*E12+E13*40000+(F15/20)*35000</f>
        <v>2812450</v>
      </c>
      <c r="P17" s="2" t="s">
        <v>54</v>
      </c>
      <c r="W17" s="13"/>
    </row>
    <row r="18" spans="2:23" ht="9.65" customHeight="1" thickTop="1" thickBot="1" x14ac:dyDescent="0.4">
      <c r="B18" s="17"/>
      <c r="C18" s="18"/>
      <c r="D18" s="18"/>
      <c r="E18" s="18"/>
      <c r="F18" s="18"/>
      <c r="G18" s="18"/>
      <c r="H18" s="18"/>
      <c r="I18" s="18"/>
      <c r="J18" s="18"/>
      <c r="K18" s="18"/>
      <c r="L18" s="18"/>
      <c r="M18" s="18"/>
      <c r="N18" s="18"/>
      <c r="O18" s="18" t="s">
        <v>43</v>
      </c>
      <c r="P18" s="18"/>
      <c r="Q18" s="18"/>
      <c r="R18" s="18"/>
      <c r="S18" s="18"/>
      <c r="T18" s="18"/>
      <c r="U18" s="18"/>
      <c r="V18" s="18"/>
      <c r="W18" s="19"/>
    </row>
    <row r="19" spans="2:23" ht="9.65" customHeight="1" x14ac:dyDescent="0.35"/>
    <row r="20" spans="2:23" ht="9.65" customHeight="1" x14ac:dyDescent="0.35"/>
  </sheetData>
  <mergeCells count="10">
    <mergeCell ref="C3:V3"/>
    <mergeCell ref="G5:I8"/>
    <mergeCell ref="J5:L8"/>
    <mergeCell ref="M5:V8"/>
    <mergeCell ref="M9:V9"/>
    <mergeCell ref="G9:H9"/>
    <mergeCell ref="C4:F4"/>
    <mergeCell ref="G4:I4"/>
    <mergeCell ref="J4:L4"/>
    <mergeCell ref="C8:F8"/>
  </mergeCells>
  <pageMargins left="0.7" right="0.7" top="0.75" bottom="0.75" header="0.3" footer="0.3"/>
  <pageSetup paperSize="8" scale="3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E51DF-A847-4FF0-A611-882762FE4F57}">
  <sheetPr>
    <pageSetUpPr fitToPage="1"/>
  </sheetPr>
  <dimension ref="B1:J22"/>
  <sheetViews>
    <sheetView showGridLines="0" zoomScale="111" zoomScaleNormal="111" workbookViewId="0">
      <selection activeCell="C7" sqref="C7"/>
    </sheetView>
  </sheetViews>
  <sheetFormatPr defaultRowHeight="14.5" x14ac:dyDescent="0.35"/>
  <cols>
    <col min="1" max="2" width="1.26953125" customWidth="1"/>
    <col min="3" max="3" width="45.7265625" customWidth="1"/>
    <col min="4" max="4" width="32.1796875" customWidth="1"/>
    <col min="5" max="6" width="15.7265625" customWidth="1"/>
    <col min="7" max="9" width="25.7265625" customWidth="1"/>
    <col min="10" max="13" width="1.7265625" customWidth="1"/>
  </cols>
  <sheetData>
    <row r="1" spans="2:10" ht="6.65" customHeight="1" thickBot="1" x14ac:dyDescent="0.4"/>
    <row r="2" spans="2:10" ht="6" customHeight="1" x14ac:dyDescent="0.35">
      <c r="B2" s="9"/>
      <c r="C2" s="10"/>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35</v>
      </c>
      <c r="D7" s="7"/>
      <c r="E7" s="25">
        <v>36423544</v>
      </c>
      <c r="F7" s="24"/>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40"/>
      <c r="D10" s="3"/>
      <c r="E10" s="3"/>
      <c r="F10" s="3"/>
      <c r="G10" s="3"/>
      <c r="H10" s="3"/>
      <c r="I10" s="3"/>
      <c r="J10" s="13"/>
    </row>
    <row r="11" spans="2:10" x14ac:dyDescent="0.35">
      <c r="B11" s="12"/>
      <c r="C11" s="5" t="s">
        <v>112</v>
      </c>
      <c r="D11" s="3"/>
      <c r="E11" s="3"/>
      <c r="F11" s="44"/>
      <c r="G11" s="48"/>
      <c r="H11" s="3"/>
      <c r="I11" s="3"/>
      <c r="J11" s="13"/>
    </row>
    <row r="12" spans="2:10" x14ac:dyDescent="0.35">
      <c r="B12" s="12"/>
      <c r="C12" s="1"/>
      <c r="D12" s="26" t="s">
        <v>123</v>
      </c>
      <c r="E12" s="88">
        <v>3</v>
      </c>
      <c r="F12" s="27" t="s">
        <v>43</v>
      </c>
      <c r="G12" s="52">
        <f>+'Beregning og partsberegning'!H34</f>
        <v>4.9153994220801052E-3</v>
      </c>
      <c r="H12" s="52"/>
      <c r="I12" s="52">
        <f>+E12*G12</f>
        <v>1.4746198266240317E-2</v>
      </c>
      <c r="J12" s="13"/>
    </row>
    <row r="13" spans="2:10" x14ac:dyDescent="0.35">
      <c r="B13" s="12"/>
      <c r="C13" s="5" t="s">
        <v>129</v>
      </c>
      <c r="D13" s="3"/>
      <c r="E13" s="89"/>
      <c r="F13" s="21"/>
      <c r="G13" s="53"/>
      <c r="H13" s="53"/>
      <c r="I13" s="53"/>
      <c r="J13" s="13"/>
    </row>
    <row r="14" spans="2:10" x14ac:dyDescent="0.35">
      <c r="B14" s="12"/>
      <c r="C14" s="1"/>
      <c r="D14" s="26" t="s">
        <v>152</v>
      </c>
      <c r="E14" s="88">
        <v>1</v>
      </c>
      <c r="F14" s="84">
        <v>5.7</v>
      </c>
      <c r="G14" s="52"/>
      <c r="H14" s="52">
        <f>+G12</f>
        <v>4.9153994220801052E-3</v>
      </c>
      <c r="I14" s="52">
        <f>+H14*(F14/20)</f>
        <v>1.4008888352928302E-3</v>
      </c>
      <c r="J14" s="13"/>
    </row>
    <row r="15" spans="2:10" x14ac:dyDescent="0.35">
      <c r="B15" s="12"/>
      <c r="C15" s="1"/>
      <c r="D15" s="26" t="s">
        <v>155</v>
      </c>
      <c r="E15" s="88">
        <v>35</v>
      </c>
      <c r="F15" s="84">
        <v>464.4</v>
      </c>
      <c r="G15" s="52"/>
      <c r="H15" s="52">
        <f>+G12</f>
        <v>4.9153994220801052E-3</v>
      </c>
      <c r="I15" s="52">
        <f>+H15*(F15/20)</f>
        <v>0.11413557458070003</v>
      </c>
      <c r="J15" s="13"/>
    </row>
    <row r="16" spans="2:10" x14ac:dyDescent="0.35">
      <c r="B16" s="12"/>
      <c r="J16" s="13"/>
    </row>
    <row r="17" spans="2:10" ht="15" thickBot="1" x14ac:dyDescent="0.4">
      <c r="B17" s="12"/>
      <c r="D17" s="179" t="s">
        <v>131</v>
      </c>
      <c r="E17" s="178">
        <f>40000*E12+35000*(F14/20)+(F15/20)*35000</f>
        <v>942675</v>
      </c>
      <c r="F17" s="2" t="s">
        <v>54</v>
      </c>
      <c r="H17" s="117" t="s">
        <v>42</v>
      </c>
      <c r="I17" s="106">
        <f>+I12+I14+I15</f>
        <v>0.13028266168223318</v>
      </c>
      <c r="J17" s="13"/>
    </row>
    <row r="18" spans="2:10" ht="6" customHeight="1" thickTop="1" thickBot="1" x14ac:dyDescent="0.4">
      <c r="B18" s="17"/>
      <c r="C18" s="18"/>
      <c r="D18" s="18"/>
      <c r="E18" s="18"/>
      <c r="F18" s="18"/>
      <c r="G18" s="18"/>
      <c r="H18" s="18"/>
      <c r="I18" s="18"/>
      <c r="J18" s="19"/>
    </row>
    <row r="19" spans="2:10" ht="6" customHeight="1" x14ac:dyDescent="0.35"/>
    <row r="22" spans="2:10" x14ac:dyDescent="0.35">
      <c r="D22" t="s">
        <v>43</v>
      </c>
    </row>
  </sheetData>
  <mergeCells count="6">
    <mergeCell ref="C4:F4"/>
    <mergeCell ref="G4:I4"/>
    <mergeCell ref="C8:F8"/>
    <mergeCell ref="C5:F5"/>
    <mergeCell ref="C3:I3"/>
    <mergeCell ref="G5:I8"/>
  </mergeCells>
  <pageMargins left="0.7" right="0.7" top="0.75" bottom="0.75" header="0.3" footer="0.3"/>
  <pageSetup paperSize="8"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92E89-A625-4DD0-A2E9-F8CBD75AC441}">
  <sheetPr>
    <pageSetUpPr fitToPage="1"/>
  </sheetPr>
  <dimension ref="B1:W20"/>
  <sheetViews>
    <sheetView showGridLines="0" zoomScaleNormal="100" workbookViewId="0">
      <selection activeCell="C7" sqref="C7"/>
    </sheetView>
  </sheetViews>
  <sheetFormatPr defaultRowHeight="14.5" x14ac:dyDescent="0.35"/>
  <cols>
    <col min="1" max="2" width="1.7265625" customWidth="1"/>
    <col min="3" max="3" width="45.7265625" customWidth="1"/>
    <col min="4" max="4" width="15.453125" customWidth="1"/>
    <col min="5" max="6" width="15.54296875" customWidth="1"/>
    <col min="7" max="7" width="35.7265625" customWidth="1"/>
    <col min="8" max="8" width="25.7265625" customWidth="1"/>
    <col min="9" max="9" width="49.453125" customWidth="1"/>
    <col min="10" max="13" width="25.7265625" customWidth="1"/>
    <col min="14" max="14" width="33.1796875" customWidth="1"/>
    <col min="15" max="22" width="25.7265625" customWidth="1"/>
    <col min="23" max="23" width="1.26953125" customWidth="1"/>
  </cols>
  <sheetData>
    <row r="1" spans="2:23" ht="6"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37</v>
      </c>
      <c r="D7" s="7"/>
      <c r="E7" s="25">
        <v>40075267</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197</v>
      </c>
      <c r="H9" s="307"/>
      <c r="I9" s="152" t="s">
        <v>198</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ht="29" x14ac:dyDescent="0.35">
      <c r="B12" s="12"/>
      <c r="C12" s="1"/>
      <c r="D12" s="26" t="s">
        <v>199</v>
      </c>
      <c r="E12" s="88">
        <v>413</v>
      </c>
      <c r="F12" s="27" t="s">
        <v>43</v>
      </c>
      <c r="G12" s="30"/>
      <c r="H12" s="37" t="s">
        <v>117</v>
      </c>
      <c r="I12" s="30"/>
      <c r="J12" s="52">
        <f>+'Beregning og partsberegning'!H34</f>
        <v>4.9153994220801052E-3</v>
      </c>
      <c r="K12" s="52"/>
      <c r="L12" s="52">
        <f>+J12*E12</f>
        <v>2.0300599613190835</v>
      </c>
      <c r="M12" s="30"/>
      <c r="N12" s="30"/>
      <c r="O12" s="32" t="s">
        <v>117</v>
      </c>
      <c r="P12" s="30"/>
      <c r="Q12" s="30"/>
      <c r="R12" s="30"/>
      <c r="S12" s="30"/>
      <c r="T12" s="30"/>
      <c r="U12" s="30"/>
      <c r="V12" s="30"/>
      <c r="W12" s="13"/>
    </row>
    <row r="13" spans="2:23" x14ac:dyDescent="0.35">
      <c r="B13" s="12"/>
      <c r="C13" s="1"/>
      <c r="D13" s="26" t="s">
        <v>123</v>
      </c>
      <c r="E13" s="88">
        <v>636</v>
      </c>
      <c r="F13" s="27" t="s">
        <v>43</v>
      </c>
      <c r="G13" s="37" t="s">
        <v>117</v>
      </c>
      <c r="H13" s="37"/>
      <c r="I13" s="37" t="s">
        <v>117</v>
      </c>
      <c r="J13" s="55">
        <f>+'Beregning og partsberegning'!F35</f>
        <v>5.3741700348075808E-2</v>
      </c>
      <c r="K13" s="52"/>
      <c r="L13" s="55">
        <f>+J13*E13</f>
        <v>34.179721421376215</v>
      </c>
      <c r="M13" s="30"/>
      <c r="N13" s="30"/>
      <c r="O13" s="30"/>
      <c r="P13" s="30"/>
      <c r="Q13" s="32" t="s">
        <v>117</v>
      </c>
      <c r="R13" s="30"/>
      <c r="S13" s="30"/>
      <c r="T13" s="30"/>
      <c r="U13" s="30"/>
      <c r="V13" s="30"/>
      <c r="W13" s="13"/>
    </row>
    <row r="14" spans="2:23" x14ac:dyDescent="0.35">
      <c r="B14" s="12"/>
      <c r="C14" s="1"/>
      <c r="D14" s="26" t="s">
        <v>120</v>
      </c>
      <c r="E14" s="88">
        <v>2</v>
      </c>
      <c r="F14" s="27" t="s">
        <v>43</v>
      </c>
      <c r="G14" s="37" t="s">
        <v>117</v>
      </c>
      <c r="H14" s="37"/>
      <c r="I14" s="37" t="s">
        <v>117</v>
      </c>
      <c r="J14" s="55">
        <f>+J13</f>
        <v>5.3741700348075808E-2</v>
      </c>
      <c r="K14" s="52"/>
      <c r="L14" s="55">
        <f>+J14*E14</f>
        <v>0.10748340069615162</v>
      </c>
      <c r="M14" s="30"/>
      <c r="N14" s="30"/>
      <c r="O14" s="30"/>
      <c r="P14" s="30"/>
      <c r="Q14" s="32" t="s">
        <v>117</v>
      </c>
      <c r="R14" s="30"/>
      <c r="S14" s="30"/>
      <c r="T14" s="30"/>
      <c r="U14" s="30"/>
      <c r="V14" s="30"/>
      <c r="W14" s="13"/>
    </row>
    <row r="15" spans="2:23" x14ac:dyDescent="0.35">
      <c r="B15" s="12"/>
      <c r="C15" s="5" t="s">
        <v>129</v>
      </c>
      <c r="D15" s="3"/>
      <c r="E15" s="89"/>
      <c r="F15" s="21"/>
      <c r="G15" s="33"/>
      <c r="H15" s="46"/>
      <c r="I15" s="33"/>
      <c r="J15" s="56"/>
      <c r="K15" s="56"/>
      <c r="L15" s="56"/>
      <c r="M15" s="33"/>
      <c r="N15" s="33"/>
      <c r="O15" s="33"/>
      <c r="P15" s="33"/>
      <c r="Q15" s="33"/>
      <c r="R15" s="33"/>
      <c r="S15" s="33"/>
      <c r="T15" s="33"/>
      <c r="U15" s="33"/>
      <c r="V15" s="33"/>
      <c r="W15" s="13"/>
    </row>
    <row r="16" spans="2:23" x14ac:dyDescent="0.35">
      <c r="B16" s="12"/>
      <c r="C16" s="1"/>
      <c r="D16" s="26" t="s">
        <v>155</v>
      </c>
      <c r="E16" s="88">
        <v>2741</v>
      </c>
      <c r="F16" s="84">
        <v>58831.399999999849</v>
      </c>
      <c r="G16" s="30"/>
      <c r="H16" s="37" t="s">
        <v>117</v>
      </c>
      <c r="I16" s="30"/>
      <c r="J16" s="55" t="s">
        <v>43</v>
      </c>
      <c r="K16" s="55">
        <f>+J12</f>
        <v>4.9153994220801052E-3</v>
      </c>
      <c r="L16" s="55">
        <f>+K16*(F16/20)</f>
        <v>14.458991478008137</v>
      </c>
      <c r="M16" s="30"/>
      <c r="N16" s="30"/>
      <c r="O16" s="30"/>
      <c r="P16" s="30"/>
      <c r="Q16" s="30"/>
      <c r="R16" s="30"/>
      <c r="S16" s="30"/>
      <c r="T16" s="30"/>
      <c r="U16" s="32" t="s">
        <v>117</v>
      </c>
      <c r="V16" s="30"/>
      <c r="W16" s="13"/>
    </row>
    <row r="17" spans="2:23" ht="29" x14ac:dyDescent="0.35">
      <c r="B17" s="12"/>
      <c r="C17" s="1"/>
      <c r="D17" s="26" t="s">
        <v>200</v>
      </c>
      <c r="E17" s="88">
        <v>1</v>
      </c>
      <c r="F17" s="84">
        <v>55.5</v>
      </c>
      <c r="G17" s="30"/>
      <c r="H17" s="37" t="s">
        <v>117</v>
      </c>
      <c r="I17" s="30"/>
      <c r="J17" s="55" t="s">
        <v>43</v>
      </c>
      <c r="K17" s="55">
        <f>+J12</f>
        <v>4.9153994220801052E-3</v>
      </c>
      <c r="L17" s="55">
        <f>+K17*(F17/20)</f>
        <v>1.3640233396272291E-2</v>
      </c>
      <c r="M17" s="30"/>
      <c r="N17" s="30"/>
      <c r="O17" s="30"/>
      <c r="P17" s="30"/>
      <c r="Q17" s="30"/>
      <c r="R17" s="30"/>
      <c r="S17" s="30"/>
      <c r="T17" s="30"/>
      <c r="U17" s="32" t="s">
        <v>117</v>
      </c>
      <c r="V17" s="30"/>
      <c r="W17" s="13"/>
    </row>
    <row r="18" spans="2:23" x14ac:dyDescent="0.35">
      <c r="B18" s="12"/>
      <c r="J18" s="107"/>
      <c r="K18" s="107"/>
      <c r="L18" s="108"/>
      <c r="W18" s="13"/>
    </row>
    <row r="19" spans="2:23" ht="15" thickBot="1" x14ac:dyDescent="0.4">
      <c r="B19" s="12"/>
      <c r="K19" s="118" t="s">
        <v>201</v>
      </c>
      <c r="L19" s="93">
        <f>+SUM(L12:L17)</f>
        <v>50.789896494795862</v>
      </c>
      <c r="M19" s="109"/>
      <c r="N19" s="179" t="s">
        <v>131</v>
      </c>
      <c r="O19" s="178">
        <f>25000*E12+(SUM(E13:E14))*40000+((F16+F17)/20)*35000</f>
        <v>138897074.99999973</v>
      </c>
      <c r="P19" s="2" t="s">
        <v>54</v>
      </c>
      <c r="Q19" s="109"/>
      <c r="R19" s="109"/>
      <c r="S19" s="109"/>
      <c r="T19" s="109"/>
      <c r="U19" s="109"/>
      <c r="W19" s="13"/>
    </row>
    <row r="20" spans="2:23" ht="9" customHeight="1" thickTop="1" thickBot="1" x14ac:dyDescent="0.4">
      <c r="B20" s="17"/>
      <c r="C20" s="18"/>
      <c r="D20" s="18"/>
      <c r="E20" s="18"/>
      <c r="F20" s="18"/>
      <c r="G20" s="18"/>
      <c r="H20" s="18"/>
      <c r="I20" s="18"/>
      <c r="J20" s="18"/>
      <c r="K20" s="18"/>
      <c r="L20" s="18"/>
      <c r="M20" s="18"/>
      <c r="N20" s="18"/>
      <c r="O20" s="18"/>
      <c r="P20" s="18"/>
      <c r="Q20" s="18"/>
      <c r="R20" s="18"/>
      <c r="S20" s="18"/>
      <c r="T20" s="18"/>
      <c r="U20" s="18"/>
      <c r="V20" s="18"/>
      <c r="W20" s="19"/>
    </row>
  </sheetData>
  <mergeCells count="10">
    <mergeCell ref="G9:H9"/>
    <mergeCell ref="C4:F4"/>
    <mergeCell ref="G4:I4"/>
    <mergeCell ref="J4:L4"/>
    <mergeCell ref="C3:V3"/>
    <mergeCell ref="G5:I8"/>
    <mergeCell ref="J5:L8"/>
    <mergeCell ref="M5:V8"/>
    <mergeCell ref="M9:V9"/>
    <mergeCell ref="C8:F8"/>
  </mergeCells>
  <pageMargins left="0.7" right="0.7" top="0.75" bottom="0.75" header="0.3" footer="0.3"/>
  <pageSetup paperSize="8" scale="3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B1:AA31"/>
  <sheetViews>
    <sheetView showGridLines="0" zoomScaleNormal="100" zoomScaleSheetLayoutView="40" workbookViewId="0">
      <selection activeCell="C3" sqref="C3:V3"/>
    </sheetView>
  </sheetViews>
  <sheetFormatPr defaultRowHeight="14.5" x14ac:dyDescent="0.35"/>
  <cols>
    <col min="1" max="1" width="1.81640625" customWidth="1"/>
    <col min="2" max="2" width="1.54296875" customWidth="1"/>
    <col min="3" max="3" width="40.54296875" customWidth="1"/>
    <col min="4" max="4" width="18.453125" customWidth="1"/>
    <col min="5" max="5" width="18.1796875" customWidth="1"/>
    <col min="6" max="6" width="19" customWidth="1"/>
    <col min="7" max="7" width="35.7265625" customWidth="1"/>
    <col min="8" max="8" width="25.7265625" customWidth="1"/>
    <col min="9" max="9" width="72.453125" customWidth="1"/>
    <col min="10" max="13" width="25.7265625" customWidth="1"/>
    <col min="14" max="14" width="33.26953125" customWidth="1"/>
    <col min="15" max="22" width="25.7265625" customWidth="1"/>
    <col min="23" max="23" width="1.54296875" customWidth="1"/>
    <col min="24" max="24" width="2.54296875" customWidth="1"/>
  </cols>
  <sheetData>
    <row r="1" spans="2:27" ht="8.5" customHeight="1" thickBot="1" x14ac:dyDescent="0.4"/>
    <row r="2" spans="2:27" ht="6" customHeight="1" x14ac:dyDescent="0.35">
      <c r="B2" s="9"/>
      <c r="C2" s="10" t="s">
        <v>43</v>
      </c>
      <c r="D2" s="10"/>
      <c r="E2" s="10"/>
      <c r="F2" s="10"/>
      <c r="G2" s="10"/>
      <c r="H2" s="10"/>
      <c r="I2" s="10"/>
      <c r="J2" s="10"/>
      <c r="K2" s="10"/>
      <c r="L2" s="10"/>
      <c r="M2" s="10"/>
      <c r="N2" s="10"/>
      <c r="O2" s="10"/>
      <c r="P2" s="10"/>
      <c r="Q2" s="10"/>
      <c r="R2" s="10"/>
      <c r="S2" s="10"/>
      <c r="T2" s="10"/>
      <c r="U2" s="10"/>
      <c r="V2" s="10"/>
      <c r="W2" s="11"/>
    </row>
    <row r="3" spans="2:27"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7" s="8" customFormat="1" ht="21" x14ac:dyDescent="0.5">
      <c r="B4" s="14"/>
      <c r="C4" s="273" t="s">
        <v>90</v>
      </c>
      <c r="D4" s="274"/>
      <c r="E4" s="274"/>
      <c r="F4" s="275"/>
      <c r="G4" s="308" t="s">
        <v>91</v>
      </c>
      <c r="H4" s="309"/>
      <c r="I4" s="310"/>
      <c r="J4" s="303" t="s">
        <v>92</v>
      </c>
      <c r="K4" s="304"/>
      <c r="L4" s="305"/>
      <c r="M4" s="146" t="s">
        <v>93</v>
      </c>
      <c r="N4" s="147"/>
      <c r="O4" s="147"/>
      <c r="P4" s="147"/>
      <c r="Q4" s="147"/>
      <c r="R4" s="147"/>
      <c r="S4" s="147"/>
      <c r="T4" s="147"/>
      <c r="U4" s="147"/>
      <c r="V4" s="148"/>
      <c r="W4" s="13"/>
      <c r="X4"/>
      <c r="Y4"/>
      <c r="Z4"/>
      <c r="AA4"/>
    </row>
    <row r="5" spans="2:27" x14ac:dyDescent="0.35">
      <c r="B5" s="12"/>
      <c r="C5" s="99"/>
      <c r="G5" s="288" t="s">
        <v>43</v>
      </c>
      <c r="H5" s="289"/>
      <c r="I5" s="290"/>
      <c r="J5" s="279" t="s">
        <v>43</v>
      </c>
      <c r="K5" s="280"/>
      <c r="L5" s="281"/>
      <c r="M5" s="297"/>
      <c r="N5" s="297"/>
      <c r="O5" s="297"/>
      <c r="P5" s="297"/>
      <c r="Q5" s="297"/>
      <c r="R5" s="297"/>
      <c r="S5" s="297"/>
      <c r="T5" s="297"/>
      <c r="U5" s="297"/>
      <c r="V5" s="298"/>
      <c r="W5" s="13"/>
    </row>
    <row r="6" spans="2:27" x14ac:dyDescent="0.35">
      <c r="B6" s="12"/>
      <c r="C6" s="6" t="s">
        <v>94</v>
      </c>
      <c r="D6" s="6" t="s">
        <v>43</v>
      </c>
      <c r="E6" s="6" t="s">
        <v>95</v>
      </c>
      <c r="F6" s="141" t="s">
        <v>43</v>
      </c>
      <c r="G6" s="291"/>
      <c r="H6" s="292"/>
      <c r="I6" s="293"/>
      <c r="J6" s="282"/>
      <c r="K6" s="283"/>
      <c r="L6" s="284"/>
      <c r="M6" s="299"/>
      <c r="N6" s="299"/>
      <c r="O6" s="299"/>
      <c r="P6" s="299"/>
      <c r="Q6" s="299"/>
      <c r="R6" s="299"/>
      <c r="S6" s="299"/>
      <c r="T6" s="299"/>
      <c r="U6" s="299"/>
      <c r="V6" s="300"/>
      <c r="W6" s="13"/>
    </row>
    <row r="7" spans="2:27" ht="35.25" customHeight="1" x14ac:dyDescent="0.35">
      <c r="B7" s="12"/>
      <c r="C7" s="25" t="s">
        <v>16</v>
      </c>
      <c r="D7" s="7"/>
      <c r="E7" s="25">
        <v>64831712</v>
      </c>
      <c r="F7" s="142"/>
      <c r="G7" s="291"/>
      <c r="H7" s="292"/>
      <c r="I7" s="293"/>
      <c r="J7" s="282"/>
      <c r="K7" s="283"/>
      <c r="L7" s="284"/>
      <c r="M7" s="299"/>
      <c r="N7" s="299"/>
      <c r="O7" s="299"/>
      <c r="P7" s="299"/>
      <c r="Q7" s="299"/>
      <c r="R7" s="299"/>
      <c r="S7" s="299"/>
      <c r="T7" s="299"/>
      <c r="U7" s="299"/>
      <c r="V7" s="300"/>
      <c r="W7" s="13"/>
    </row>
    <row r="8" spans="2:27"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7" s="2" customFormat="1" ht="160.15" customHeight="1" x14ac:dyDescent="0.35">
      <c r="B9" s="15"/>
      <c r="C9" s="45" t="s">
        <v>97</v>
      </c>
      <c r="D9" s="45" t="s">
        <v>98</v>
      </c>
      <c r="E9" s="45" t="s">
        <v>99</v>
      </c>
      <c r="F9" s="45" t="s">
        <v>100</v>
      </c>
      <c r="G9" s="306" t="s">
        <v>101</v>
      </c>
      <c r="H9" s="307"/>
      <c r="I9" s="152" t="s">
        <v>102</v>
      </c>
      <c r="J9" s="153" t="s">
        <v>103</v>
      </c>
      <c r="K9" s="154" t="s">
        <v>104</v>
      </c>
      <c r="L9" s="153" t="s">
        <v>105</v>
      </c>
      <c r="M9" s="276" t="s">
        <v>106</v>
      </c>
      <c r="N9" s="277"/>
      <c r="O9" s="277"/>
      <c r="P9" s="277"/>
      <c r="Q9" s="277"/>
      <c r="R9" s="277"/>
      <c r="S9" s="277"/>
      <c r="T9" s="277"/>
      <c r="U9" s="277"/>
      <c r="V9" s="278"/>
      <c r="W9" s="13"/>
      <c r="X9"/>
      <c r="Y9"/>
      <c r="Z9"/>
      <c r="AA9"/>
    </row>
    <row r="10" spans="2:27" s="2" customFormat="1" ht="15.65" customHeight="1" x14ac:dyDescent="0.35">
      <c r="B10" s="15"/>
      <c r="C10" s="3"/>
      <c r="D10" s="3"/>
      <c r="E10" s="3"/>
      <c r="F10" s="3"/>
      <c r="G10" s="3"/>
      <c r="H10" s="3"/>
      <c r="I10" s="3"/>
      <c r="J10" s="3"/>
      <c r="K10" s="3"/>
      <c r="L10" s="3"/>
      <c r="M10" s="33"/>
      <c r="N10" s="33"/>
      <c r="O10" s="33"/>
      <c r="P10" s="33"/>
      <c r="Q10" s="33"/>
      <c r="R10" s="37" t="s">
        <v>107</v>
      </c>
      <c r="S10" s="37" t="s">
        <v>108</v>
      </c>
      <c r="T10" s="37" t="s">
        <v>109</v>
      </c>
      <c r="U10" s="37" t="s">
        <v>110</v>
      </c>
      <c r="V10" s="37" t="s">
        <v>111</v>
      </c>
      <c r="W10" s="16"/>
    </row>
    <row r="11" spans="2:27" s="2" customFormat="1" x14ac:dyDescent="0.35">
      <c r="B11" s="15"/>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6"/>
    </row>
    <row r="12" spans="2:27" s="2" customFormat="1" x14ac:dyDescent="0.35">
      <c r="B12" s="15"/>
      <c r="C12" s="1"/>
      <c r="D12" s="25" t="s">
        <v>116</v>
      </c>
      <c r="E12" s="77">
        <v>232</v>
      </c>
      <c r="F12" s="27" t="s">
        <v>43</v>
      </c>
      <c r="G12" s="20"/>
      <c r="H12" s="20" t="s">
        <v>117</v>
      </c>
      <c r="I12" s="20"/>
      <c r="J12" s="34">
        <f>+'Beregning og partsberegning'!H$34</f>
        <v>4.9153994220801052E-3</v>
      </c>
      <c r="K12" s="34"/>
      <c r="L12" s="34">
        <f t="shared" ref="L12:L19" si="0">+J12*E12</f>
        <v>1.1403726659225843</v>
      </c>
      <c r="M12" s="30"/>
      <c r="N12" s="30"/>
      <c r="O12" s="32" t="s">
        <v>117</v>
      </c>
      <c r="P12" s="30"/>
      <c r="Q12" s="30"/>
      <c r="R12" s="30"/>
      <c r="S12" s="30"/>
      <c r="T12" s="30"/>
      <c r="U12" s="30"/>
      <c r="V12" s="30"/>
      <c r="W12" s="16"/>
    </row>
    <row r="13" spans="2:27" s="2" customFormat="1" x14ac:dyDescent="0.35">
      <c r="B13" s="15"/>
      <c r="C13" s="1"/>
      <c r="D13" s="25" t="s">
        <v>118</v>
      </c>
      <c r="E13" s="77">
        <v>9</v>
      </c>
      <c r="F13" s="27" t="s">
        <v>43</v>
      </c>
      <c r="G13" s="20"/>
      <c r="H13" s="20" t="s">
        <v>117</v>
      </c>
      <c r="I13" s="20"/>
      <c r="J13" s="34">
        <f>+'Beregning og partsberegning'!H$34</f>
        <v>4.9153994220801052E-3</v>
      </c>
      <c r="K13" s="34"/>
      <c r="L13" s="34">
        <f t="shared" si="0"/>
        <v>4.423859479872095E-2</v>
      </c>
      <c r="M13" s="30"/>
      <c r="N13" s="30"/>
      <c r="O13" s="32" t="s">
        <v>117</v>
      </c>
      <c r="P13" s="30"/>
      <c r="Q13" s="30"/>
      <c r="R13" s="30"/>
      <c r="S13" s="30"/>
      <c r="T13" s="30"/>
      <c r="U13" s="30"/>
      <c r="V13" s="30"/>
      <c r="W13" s="16"/>
    </row>
    <row r="14" spans="2:27" s="2" customFormat="1" x14ac:dyDescent="0.35">
      <c r="B14" s="15"/>
      <c r="C14" s="1"/>
      <c r="D14" s="25" t="s">
        <v>119</v>
      </c>
      <c r="E14" s="77">
        <v>58</v>
      </c>
      <c r="F14" s="27" t="s">
        <v>43</v>
      </c>
      <c r="G14" s="20"/>
      <c r="H14" s="20" t="s">
        <v>117</v>
      </c>
      <c r="I14" s="20"/>
      <c r="J14" s="34">
        <f>+'Beregning og partsberegning'!H$34</f>
        <v>4.9153994220801052E-3</v>
      </c>
      <c r="K14" s="34"/>
      <c r="L14" s="34">
        <f t="shared" si="0"/>
        <v>0.28509316648064609</v>
      </c>
      <c r="M14" s="30"/>
      <c r="N14" s="30"/>
      <c r="O14" s="32" t="s">
        <v>117</v>
      </c>
      <c r="P14" s="30"/>
      <c r="Q14" s="30"/>
      <c r="R14" s="30"/>
      <c r="S14" s="30"/>
      <c r="T14" s="30"/>
      <c r="U14" s="30"/>
      <c r="V14" s="30"/>
      <c r="W14" s="16"/>
    </row>
    <row r="15" spans="2:27" s="2" customFormat="1" x14ac:dyDescent="0.35">
      <c r="B15" s="15"/>
      <c r="C15" s="1"/>
      <c r="D15" s="25" t="s">
        <v>120</v>
      </c>
      <c r="E15" s="77">
        <v>61</v>
      </c>
      <c r="F15" s="27" t="s">
        <v>43</v>
      </c>
      <c r="G15" s="20"/>
      <c r="H15" s="20" t="s">
        <v>117</v>
      </c>
      <c r="I15" s="20" t="s">
        <v>43</v>
      </c>
      <c r="J15" s="34">
        <f>+'Beregning og partsberegning'!H$34</f>
        <v>4.9153994220801052E-3</v>
      </c>
      <c r="K15" s="34"/>
      <c r="L15" s="34">
        <f t="shared" si="0"/>
        <v>0.29983936474688644</v>
      </c>
      <c r="M15" s="30"/>
      <c r="N15" s="30"/>
      <c r="O15" s="30"/>
      <c r="P15" s="30"/>
      <c r="Q15" s="32" t="s">
        <v>117</v>
      </c>
      <c r="R15" s="30"/>
      <c r="S15" s="30"/>
      <c r="T15" s="30"/>
      <c r="U15" s="30"/>
      <c r="V15" s="30"/>
      <c r="W15" s="16"/>
    </row>
    <row r="16" spans="2:27" s="2" customFormat="1" x14ac:dyDescent="0.35">
      <c r="B16" s="15"/>
      <c r="C16" s="1"/>
      <c r="D16" s="25" t="s">
        <v>121</v>
      </c>
      <c r="E16" s="77">
        <v>19</v>
      </c>
      <c r="F16" s="27" t="s">
        <v>43</v>
      </c>
      <c r="G16" s="20"/>
      <c r="H16" s="20" t="s">
        <v>117</v>
      </c>
      <c r="I16" s="20"/>
      <c r="J16" s="34">
        <f>+'Beregning og partsberegning'!H$34</f>
        <v>4.9153994220801052E-3</v>
      </c>
      <c r="K16" s="34"/>
      <c r="L16" s="34">
        <f t="shared" si="0"/>
        <v>9.3392589019521993E-2</v>
      </c>
      <c r="M16" s="30"/>
      <c r="N16" s="30"/>
      <c r="O16" s="32" t="s">
        <v>117</v>
      </c>
      <c r="P16" s="30"/>
      <c r="Q16" s="30"/>
      <c r="R16" s="30"/>
      <c r="S16" s="30"/>
      <c r="T16" s="30"/>
      <c r="U16" s="30"/>
      <c r="V16" s="30"/>
      <c r="W16" s="16"/>
    </row>
    <row r="17" spans="2:23" s="2" customFormat="1" x14ac:dyDescent="0.35">
      <c r="B17" s="15"/>
      <c r="C17" s="1"/>
      <c r="D17" s="25" t="s">
        <v>122</v>
      </c>
      <c r="E17" s="77">
        <v>38</v>
      </c>
      <c r="F17" s="27" t="s">
        <v>43</v>
      </c>
      <c r="G17" s="20"/>
      <c r="H17" s="20" t="s">
        <v>117</v>
      </c>
      <c r="I17" s="20"/>
      <c r="J17" s="34">
        <f>+'Beregning og partsberegning'!H$34</f>
        <v>4.9153994220801052E-3</v>
      </c>
      <c r="K17" s="34"/>
      <c r="L17" s="34">
        <f t="shared" si="0"/>
        <v>0.18678517803904399</v>
      </c>
      <c r="M17" s="30"/>
      <c r="N17" s="30"/>
      <c r="O17" s="32" t="s">
        <v>117</v>
      </c>
      <c r="P17" s="30"/>
      <c r="Q17" s="30"/>
      <c r="R17" s="30"/>
      <c r="S17" s="30"/>
      <c r="T17" s="30"/>
      <c r="U17" s="30"/>
      <c r="V17" s="30"/>
      <c r="W17" s="16"/>
    </row>
    <row r="18" spans="2:23" s="2" customFormat="1" ht="31.5" customHeight="1" x14ac:dyDescent="0.35">
      <c r="B18" s="15"/>
      <c r="C18" s="1"/>
      <c r="D18" s="25" t="s">
        <v>123</v>
      </c>
      <c r="E18" s="77">
        <v>5</v>
      </c>
      <c r="F18" s="27" t="s">
        <v>43</v>
      </c>
      <c r="G18" s="20" t="s">
        <v>43</v>
      </c>
      <c r="H18" s="20" t="s">
        <v>117</v>
      </c>
      <c r="I18" s="20" t="s">
        <v>43</v>
      </c>
      <c r="J18" s="34">
        <f>+'Beregning og partsberegning'!H$34</f>
        <v>4.9153994220801052E-3</v>
      </c>
      <c r="K18" s="34"/>
      <c r="L18" s="34">
        <f t="shared" si="0"/>
        <v>2.4576997110400525E-2</v>
      </c>
      <c r="M18" s="30"/>
      <c r="N18" s="30"/>
      <c r="O18" s="30"/>
      <c r="P18" s="30"/>
      <c r="Q18" s="32" t="s">
        <v>117</v>
      </c>
      <c r="R18" s="30"/>
      <c r="S18" s="30"/>
      <c r="T18" s="30"/>
      <c r="U18" s="30"/>
      <c r="V18" s="30"/>
      <c r="W18" s="16"/>
    </row>
    <row r="19" spans="2:23" s="2" customFormat="1" x14ac:dyDescent="0.35">
      <c r="B19" s="15"/>
      <c r="C19" s="1"/>
      <c r="D19" s="81" t="s">
        <v>124</v>
      </c>
      <c r="E19" s="77">
        <v>1176</v>
      </c>
      <c r="F19" s="27" t="s">
        <v>43</v>
      </c>
      <c r="G19" s="20"/>
      <c r="H19" s="20" t="s">
        <v>117</v>
      </c>
      <c r="I19" s="20" t="s">
        <v>43</v>
      </c>
      <c r="J19" s="34">
        <f>+'Beregning og partsberegning'!H$34</f>
        <v>4.9153994220801052E-3</v>
      </c>
      <c r="K19" s="34"/>
      <c r="L19" s="34">
        <f t="shared" si="0"/>
        <v>5.7805097203662035</v>
      </c>
      <c r="M19" s="30"/>
      <c r="N19" s="30"/>
      <c r="O19" s="30"/>
      <c r="P19" s="32" t="s">
        <v>117</v>
      </c>
      <c r="Q19" s="30"/>
      <c r="R19" s="30"/>
      <c r="S19" s="30"/>
      <c r="T19" s="30"/>
      <c r="V19" s="30"/>
      <c r="W19" s="16"/>
    </row>
    <row r="20" spans="2:23" s="2" customFormat="1" x14ac:dyDescent="0.35">
      <c r="B20" s="15"/>
      <c r="C20" s="1"/>
      <c r="D20" s="25" t="s">
        <v>125</v>
      </c>
      <c r="E20" s="77">
        <v>489</v>
      </c>
      <c r="F20" s="79">
        <v>15267.2</v>
      </c>
      <c r="G20" s="20"/>
      <c r="H20" s="20" t="s">
        <v>117</v>
      </c>
      <c r="I20" s="20"/>
      <c r="J20" s="34"/>
      <c r="K20" s="34">
        <f>+'Beregning og partsberegning'!H$34</f>
        <v>4.9153994220801052E-3</v>
      </c>
      <c r="L20" s="34">
        <f>+K20*(F20/20)</f>
        <v>3.7522193028390691</v>
      </c>
      <c r="M20" s="30"/>
      <c r="N20" s="30"/>
      <c r="O20" s="30"/>
      <c r="P20" s="30"/>
      <c r="Q20" s="30"/>
      <c r="R20" s="30"/>
      <c r="S20" s="30"/>
      <c r="T20" s="30"/>
      <c r="U20" s="30"/>
      <c r="V20" s="32" t="s">
        <v>117</v>
      </c>
      <c r="W20" s="16"/>
    </row>
    <row r="21" spans="2:23" s="2" customFormat="1" x14ac:dyDescent="0.35">
      <c r="B21" s="15"/>
      <c r="C21" s="1"/>
      <c r="D21" s="25" t="s">
        <v>126</v>
      </c>
      <c r="E21" s="77">
        <v>346</v>
      </c>
      <c r="F21" s="79">
        <v>19331.2</v>
      </c>
      <c r="G21" s="20"/>
      <c r="H21" s="20" t="s">
        <v>117</v>
      </c>
      <c r="I21" s="29" t="s">
        <v>43</v>
      </c>
      <c r="J21" s="34"/>
      <c r="K21" s="34">
        <f>+'Beregning og partsberegning'!H$34</f>
        <v>4.9153994220801052E-3</v>
      </c>
      <c r="L21" s="34">
        <f>+K21*(F21/20)</f>
        <v>4.7510284654057466</v>
      </c>
      <c r="M21" s="30"/>
      <c r="N21" s="30"/>
      <c r="O21" s="30"/>
      <c r="Q21" s="30"/>
      <c r="R21" s="30"/>
      <c r="S21" s="30"/>
      <c r="T21" s="30"/>
      <c r="U21" s="32" t="s">
        <v>117</v>
      </c>
      <c r="V21" s="30"/>
      <c r="W21" s="16"/>
    </row>
    <row r="22" spans="2:23" s="2" customFormat="1" x14ac:dyDescent="0.35">
      <c r="B22" s="15"/>
      <c r="C22" s="1"/>
      <c r="D22" s="25" t="s">
        <v>127</v>
      </c>
      <c r="E22" s="77">
        <v>170</v>
      </c>
      <c r="F22" s="79" t="s">
        <v>43</v>
      </c>
      <c r="G22" s="20" t="s">
        <v>43</v>
      </c>
      <c r="H22" s="20" t="s">
        <v>117</v>
      </c>
      <c r="I22" s="20"/>
      <c r="J22" s="34">
        <f>+'Beregning og partsberegning'!H$34</f>
        <v>4.9153994220801052E-3</v>
      </c>
      <c r="K22" s="34"/>
      <c r="L22" s="34">
        <f>+J22*E22</f>
        <v>0.83561790175361794</v>
      </c>
      <c r="M22" s="30"/>
      <c r="N22" s="30"/>
      <c r="O22" s="30"/>
      <c r="P22" s="32" t="s">
        <v>117</v>
      </c>
      <c r="Q22" s="30"/>
      <c r="R22" s="30"/>
      <c r="S22" s="30"/>
      <c r="T22" s="30"/>
      <c r="U22" s="30"/>
      <c r="V22" s="30"/>
      <c r="W22" s="16"/>
    </row>
    <row r="23" spans="2:23" s="2" customFormat="1" x14ac:dyDescent="0.35">
      <c r="B23" s="15"/>
      <c r="C23" s="1"/>
      <c r="D23" s="25" t="s">
        <v>128</v>
      </c>
      <c r="E23" s="77">
        <v>19</v>
      </c>
      <c r="F23" s="79" t="s">
        <v>43</v>
      </c>
      <c r="G23" s="20"/>
      <c r="H23" s="20" t="s">
        <v>117</v>
      </c>
      <c r="I23" s="20"/>
      <c r="J23" s="34">
        <f>+'Beregning og partsberegning'!H$34</f>
        <v>4.9153994220801052E-3</v>
      </c>
      <c r="K23" s="34"/>
      <c r="L23" s="34">
        <f>+J23*E23</f>
        <v>9.3392589019521993E-2</v>
      </c>
      <c r="M23" s="30"/>
      <c r="N23" s="30"/>
      <c r="O23" s="30"/>
      <c r="P23" s="32" t="s">
        <v>117</v>
      </c>
      <c r="Q23" s="30"/>
      <c r="R23" s="30"/>
      <c r="S23" s="30"/>
      <c r="T23" s="30"/>
      <c r="U23" s="30"/>
      <c r="V23" s="30"/>
      <c r="W23" s="16"/>
    </row>
    <row r="24" spans="2:23" s="2" customFormat="1" x14ac:dyDescent="0.35">
      <c r="B24" s="15"/>
      <c r="C24" s="5" t="s">
        <v>129</v>
      </c>
      <c r="D24" s="82"/>
      <c r="E24" s="21"/>
      <c r="F24" s="80"/>
      <c r="G24" s="21"/>
      <c r="H24" s="21"/>
      <c r="I24" s="21"/>
      <c r="J24" s="60"/>
      <c r="K24" s="60"/>
      <c r="L24" s="60"/>
      <c r="M24" s="33"/>
      <c r="N24" s="33"/>
      <c r="O24" s="33"/>
      <c r="P24" s="33"/>
      <c r="Q24" s="33"/>
      <c r="R24" s="33"/>
      <c r="S24" s="33"/>
      <c r="T24" s="33"/>
      <c r="U24" s="33"/>
      <c r="V24" s="33"/>
      <c r="W24" s="16"/>
    </row>
    <row r="25" spans="2:23" s="2" customFormat="1" x14ac:dyDescent="0.35">
      <c r="B25" s="15"/>
      <c r="C25" s="1"/>
      <c r="D25" s="25" t="s">
        <v>130</v>
      </c>
      <c r="E25" s="77">
        <v>1584</v>
      </c>
      <c r="F25" s="79">
        <v>47638.8</v>
      </c>
      <c r="G25" s="20"/>
      <c r="H25" s="20" t="s">
        <v>117</v>
      </c>
      <c r="I25" s="20" t="s">
        <v>43</v>
      </c>
      <c r="J25" s="34"/>
      <c r="K25" s="34">
        <f>+K21</f>
        <v>4.9153994220801052E-3</v>
      </c>
      <c r="L25" s="34">
        <f>+K25*(F25/20)</f>
        <v>11.708186499429486</v>
      </c>
      <c r="M25" s="30"/>
      <c r="N25" s="30"/>
      <c r="O25" s="30"/>
      <c r="P25" s="30"/>
      <c r="Q25" s="30"/>
      <c r="R25" s="30"/>
      <c r="S25" s="30"/>
      <c r="T25" s="30"/>
      <c r="U25" s="30"/>
      <c r="V25" s="32" t="s">
        <v>117</v>
      </c>
      <c r="W25" s="16"/>
    </row>
    <row r="26" spans="2:23" s="2" customFormat="1" x14ac:dyDescent="0.35">
      <c r="B26" s="15"/>
      <c r="C26" s="66"/>
      <c r="D26" s="63"/>
      <c r="E26" s="64"/>
      <c r="F26" s="64"/>
      <c r="G26" s="64"/>
      <c r="H26" s="64"/>
      <c r="I26" s="64"/>
      <c r="J26" s="75"/>
      <c r="K26" s="75" t="s">
        <v>43</v>
      </c>
      <c r="L26" s="75"/>
      <c r="M26" s="72"/>
      <c r="N26" s="72"/>
      <c r="O26" s="72"/>
      <c r="P26" s="72"/>
      <c r="Q26" s="72"/>
      <c r="R26" s="72"/>
      <c r="S26" s="72"/>
      <c r="T26" s="72"/>
      <c r="U26" s="63"/>
      <c r="V26" s="63"/>
      <c r="W26" s="16"/>
    </row>
    <row r="27" spans="2:23" s="2" customFormat="1" ht="15" thickBot="1" x14ac:dyDescent="0.4">
      <c r="B27" s="15"/>
      <c r="C27" s="63"/>
      <c r="D27" s="67"/>
      <c r="E27" s="67"/>
      <c r="F27" s="64"/>
      <c r="G27" s="65"/>
      <c r="H27" s="65"/>
      <c r="I27" s="65"/>
      <c r="J27" s="74"/>
      <c r="K27" s="120" t="s">
        <v>42</v>
      </c>
      <c r="L27" s="69">
        <f>+SUM(L12:L25)</f>
        <v>28.995253034931451</v>
      </c>
      <c r="M27"/>
      <c r="N27" s="179" t="s">
        <v>131</v>
      </c>
      <c r="O27" s="178">
        <f>25000*E12+25000*E13+25000*E14+25000*E15+40000*E16+25000*E17+40000*E18+35000*E19+(40000*(F20/20))+35000*(F21/20)+35000*E22+35000*E23+35000*(F25/20)</f>
        <v>206416900</v>
      </c>
      <c r="P27" s="2" t="s">
        <v>54</v>
      </c>
      <c r="W27" s="16"/>
    </row>
    <row r="28" spans="2:23" ht="9" customHeight="1" thickTop="1" thickBot="1" x14ac:dyDescent="0.4">
      <c r="B28" s="17"/>
      <c r="C28" s="18"/>
      <c r="D28" s="18"/>
      <c r="E28" s="18"/>
      <c r="F28" s="18"/>
      <c r="G28" s="22"/>
      <c r="H28" s="22"/>
      <c r="I28" s="22"/>
      <c r="J28" s="18"/>
      <c r="K28" s="18"/>
      <c r="L28" s="18"/>
      <c r="M28" s="18"/>
      <c r="N28" s="18"/>
      <c r="O28" s="18"/>
      <c r="P28" s="18"/>
      <c r="Q28" s="18"/>
      <c r="R28" s="18"/>
      <c r="S28" s="18"/>
      <c r="T28" s="18"/>
      <c r="U28" s="18"/>
      <c r="V28" s="18"/>
      <c r="W28" s="19"/>
    </row>
    <row r="29" spans="2:23" ht="9" customHeight="1" x14ac:dyDescent="0.35">
      <c r="G29" s="23"/>
      <c r="H29" s="23"/>
      <c r="I29" s="23"/>
    </row>
    <row r="30" spans="2:23" x14ac:dyDescent="0.35">
      <c r="G30" s="23"/>
      <c r="H30" s="23"/>
      <c r="I30" s="23"/>
      <c r="N30" t="s">
        <v>43</v>
      </c>
    </row>
    <row r="31" spans="2:23" x14ac:dyDescent="0.35">
      <c r="M31" t="s">
        <v>43</v>
      </c>
    </row>
  </sheetData>
  <mergeCells count="10">
    <mergeCell ref="C3:V3"/>
    <mergeCell ref="M9:V9"/>
    <mergeCell ref="J5:L8"/>
    <mergeCell ref="G5:I8"/>
    <mergeCell ref="M5:V8"/>
    <mergeCell ref="J4:L4"/>
    <mergeCell ref="G9:H9"/>
    <mergeCell ref="G4:I4"/>
    <mergeCell ref="C8:F8"/>
    <mergeCell ref="C4:F4"/>
  </mergeCells>
  <phoneticPr fontId="5" type="noConversion"/>
  <pageMargins left="0.7" right="0.7" top="0.75" bottom="0.75" header="0.3" footer="0.3"/>
  <pageSetup paperSize="8" scale="3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3A84F-95FF-446E-9C20-D16AF073DA18}">
  <sheetPr>
    <pageSetUpPr fitToPage="1"/>
  </sheetPr>
  <dimension ref="B1:J21"/>
  <sheetViews>
    <sheetView showGridLines="0" zoomScale="111" zoomScaleNormal="111" workbookViewId="0">
      <selection activeCell="C7" sqref="C7"/>
    </sheetView>
  </sheetViews>
  <sheetFormatPr defaultRowHeight="14.5" x14ac:dyDescent="0.35"/>
  <cols>
    <col min="1" max="1" width="1" customWidth="1"/>
    <col min="2" max="2" width="1.26953125" customWidth="1"/>
    <col min="3" max="3" width="45.7265625" customWidth="1"/>
    <col min="4" max="4" width="30.1796875" customWidth="1"/>
    <col min="5" max="6" width="15.7265625" customWidth="1"/>
    <col min="7" max="9" width="25.7265625" customWidth="1"/>
    <col min="10" max="13" width="1.26953125" customWidth="1"/>
  </cols>
  <sheetData>
    <row r="1" spans="2:10" ht="7.15" customHeight="1" thickBot="1" x14ac:dyDescent="0.4"/>
    <row r="2" spans="2:10" ht="5.5" customHeight="1" x14ac:dyDescent="0.35">
      <c r="B2" s="9"/>
      <c r="C2" s="10"/>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37</v>
      </c>
      <c r="D7" s="7"/>
      <c r="E7" s="25">
        <v>40075267</v>
      </c>
      <c r="F7" s="24"/>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5" t="s">
        <v>202</v>
      </c>
      <c r="D10" s="3"/>
      <c r="E10" s="3"/>
      <c r="F10" s="3"/>
      <c r="G10" s="3"/>
      <c r="H10" s="3"/>
      <c r="I10" s="3"/>
      <c r="J10" s="13"/>
    </row>
    <row r="11" spans="2:10" x14ac:dyDescent="0.35">
      <c r="B11" s="12"/>
      <c r="C11" s="5" t="s">
        <v>112</v>
      </c>
      <c r="D11" s="3"/>
      <c r="E11" s="3"/>
      <c r="F11" s="44"/>
      <c r="G11" s="48"/>
      <c r="H11" s="3"/>
      <c r="I11" s="3"/>
      <c r="J11" s="13"/>
    </row>
    <row r="12" spans="2:10" x14ac:dyDescent="0.35">
      <c r="B12" s="12"/>
      <c r="C12" s="1"/>
      <c r="D12" s="26" t="s">
        <v>123</v>
      </c>
      <c r="E12" s="88">
        <v>309</v>
      </c>
      <c r="F12" s="27" t="s">
        <v>43</v>
      </c>
      <c r="G12" s="42">
        <f>+'Beregning og partsberegning'!H34</f>
        <v>4.9153994220801052E-3</v>
      </c>
      <c r="H12" s="42"/>
      <c r="I12" s="57">
        <f>+G12*E12</f>
        <v>1.5188584214227525</v>
      </c>
      <c r="J12" s="13"/>
    </row>
    <row r="13" spans="2:10" x14ac:dyDescent="0.35">
      <c r="B13" s="12"/>
      <c r="C13" s="1"/>
      <c r="D13" s="26" t="s">
        <v>199</v>
      </c>
      <c r="E13" s="88">
        <v>280</v>
      </c>
      <c r="F13" s="27" t="s">
        <v>43</v>
      </c>
      <c r="G13" s="42">
        <f>+G12</f>
        <v>4.9153994220801052E-3</v>
      </c>
      <c r="H13" s="42"/>
      <c r="I13" s="57">
        <f>+G13*E13</f>
        <v>1.3763118381824295</v>
      </c>
      <c r="J13" s="13"/>
    </row>
    <row r="14" spans="2:10" x14ac:dyDescent="0.35">
      <c r="B14" s="12"/>
      <c r="C14" s="1"/>
      <c r="D14" s="26" t="s">
        <v>120</v>
      </c>
      <c r="E14" s="88">
        <v>1</v>
      </c>
      <c r="F14" s="27" t="s">
        <v>43</v>
      </c>
      <c r="G14" s="42">
        <f>+G13</f>
        <v>4.9153994220801052E-3</v>
      </c>
      <c r="H14" s="42"/>
      <c r="I14" s="57">
        <f>+G14*E14</f>
        <v>4.9153994220801052E-3</v>
      </c>
      <c r="J14" s="13"/>
    </row>
    <row r="15" spans="2:10" x14ac:dyDescent="0.35">
      <c r="B15" s="12"/>
      <c r="C15" s="5" t="s">
        <v>129</v>
      </c>
      <c r="D15" s="3"/>
      <c r="E15" s="89"/>
      <c r="F15" s="21"/>
      <c r="G15" s="47"/>
      <c r="H15" s="47"/>
      <c r="I15" s="58"/>
      <c r="J15" s="13"/>
    </row>
    <row r="16" spans="2:10" x14ac:dyDescent="0.35">
      <c r="B16" s="12"/>
      <c r="C16" s="1"/>
      <c r="D16" s="26" t="s">
        <v>155</v>
      </c>
      <c r="E16" s="88">
        <v>1423</v>
      </c>
      <c r="F16" s="84">
        <v>18464.000000000011</v>
      </c>
      <c r="G16" s="42"/>
      <c r="H16" s="42">
        <f>+G12</f>
        <v>4.9153994220801052E-3</v>
      </c>
      <c r="I16" s="57">
        <f>+H16*(F16/20)</f>
        <v>4.537896746464356</v>
      </c>
      <c r="J16" s="13"/>
    </row>
    <row r="17" spans="2:10" x14ac:dyDescent="0.35">
      <c r="B17" s="12"/>
      <c r="C17" s="1"/>
      <c r="D17" s="26" t="s">
        <v>200</v>
      </c>
      <c r="E17" s="88">
        <v>32</v>
      </c>
      <c r="F17" s="84">
        <v>1026.2</v>
      </c>
      <c r="G17" s="42"/>
      <c r="H17" s="42">
        <f>+G12</f>
        <v>4.9153994220801052E-3</v>
      </c>
      <c r="I17" s="57">
        <f>+H17*(F17/20)</f>
        <v>0.2522091443469302</v>
      </c>
      <c r="J17" s="13"/>
    </row>
    <row r="18" spans="2:10" x14ac:dyDescent="0.35">
      <c r="B18" s="12"/>
      <c r="G18" s="110"/>
      <c r="H18" s="110"/>
      <c r="I18" s="111"/>
      <c r="J18" s="13"/>
    </row>
    <row r="19" spans="2:10" ht="15" thickBot="1" x14ac:dyDescent="0.4">
      <c r="B19" s="12"/>
      <c r="D19" s="179" t="s">
        <v>131</v>
      </c>
      <c r="E19" s="178">
        <f>+(E12+E14)*40000+E13*25000+((F16+F17)/20)*35000</f>
        <v>53507850.000000022</v>
      </c>
      <c r="F19" s="2" t="s">
        <v>54</v>
      </c>
      <c r="G19" s="110"/>
      <c r="H19" s="119" t="s">
        <v>42</v>
      </c>
      <c r="I19" s="103">
        <f>+SUM(I12:I17)</f>
        <v>7.6901915498385494</v>
      </c>
      <c r="J19" s="13"/>
    </row>
    <row r="20" spans="2:10" ht="7.9" customHeight="1" thickTop="1" thickBot="1" x14ac:dyDescent="0.4">
      <c r="B20" s="17"/>
      <c r="C20" s="18"/>
      <c r="D20" s="18"/>
      <c r="E20" s="18"/>
      <c r="F20" s="18"/>
      <c r="G20" s="18"/>
      <c r="H20" s="18"/>
      <c r="I20" s="18"/>
      <c r="J20" s="19"/>
    </row>
    <row r="21" spans="2:10" ht="7.9" customHeight="1" x14ac:dyDescent="0.35"/>
  </sheetData>
  <mergeCells count="6">
    <mergeCell ref="C4:F4"/>
    <mergeCell ref="G4:I4"/>
    <mergeCell ref="C8:F8"/>
    <mergeCell ref="G5:I8"/>
    <mergeCell ref="C3:I3"/>
    <mergeCell ref="C5:F5"/>
  </mergeCells>
  <pageMargins left="0.7" right="0.7" top="0.75" bottom="0.75" header="0.3" footer="0.3"/>
  <pageSetup paperSize="8"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9BA31-67BF-41E0-A18F-34713060BD16}">
  <sheetPr>
    <pageSetUpPr fitToPage="1"/>
  </sheetPr>
  <dimension ref="B1:AA19"/>
  <sheetViews>
    <sheetView showGridLines="0" zoomScaleNormal="100" zoomScaleSheetLayoutView="40" workbookViewId="0">
      <selection activeCell="C7" sqref="C7"/>
    </sheetView>
  </sheetViews>
  <sheetFormatPr defaultRowHeight="14.5" x14ac:dyDescent="0.35"/>
  <cols>
    <col min="1" max="1" width="1.81640625" customWidth="1"/>
    <col min="2" max="2" width="1.54296875" customWidth="1"/>
    <col min="3" max="3" width="48.1796875" customWidth="1"/>
    <col min="4" max="4" width="18.453125" customWidth="1"/>
    <col min="5" max="5" width="18.1796875" customWidth="1"/>
    <col min="6" max="6" width="19" customWidth="1"/>
    <col min="7" max="7" width="35.7265625" customWidth="1"/>
    <col min="8" max="8" width="25.7265625" customWidth="1"/>
    <col min="9" max="9" width="63.26953125" customWidth="1"/>
    <col min="10" max="13" width="25.7265625" customWidth="1"/>
    <col min="14" max="14" width="36.1796875" customWidth="1"/>
    <col min="15" max="22" width="25.7265625" customWidth="1"/>
    <col min="23" max="23" width="1.54296875" customWidth="1"/>
    <col min="24" max="24" width="2.54296875" customWidth="1"/>
    <col min="25" max="25" width="15" bestFit="1" customWidth="1"/>
  </cols>
  <sheetData>
    <row r="1" spans="2:27" ht="8.5" customHeight="1" thickBot="1" x14ac:dyDescent="0.4"/>
    <row r="2" spans="2:27" ht="6" customHeight="1" x14ac:dyDescent="0.35">
      <c r="B2" s="9"/>
      <c r="C2" s="10" t="s">
        <v>43</v>
      </c>
      <c r="D2" s="10"/>
      <c r="E2" s="10"/>
      <c r="F2" s="10"/>
      <c r="G2" s="10"/>
      <c r="H2" s="10"/>
      <c r="I2" s="10"/>
      <c r="J2" s="10"/>
      <c r="K2" s="10"/>
      <c r="L2" s="10"/>
      <c r="M2" s="10"/>
      <c r="N2" s="10"/>
      <c r="O2" s="10"/>
      <c r="P2" s="10"/>
      <c r="Q2" s="10"/>
      <c r="R2" s="10"/>
      <c r="S2" s="10"/>
      <c r="T2" s="10"/>
      <c r="U2" s="10"/>
      <c r="V2" s="10"/>
      <c r="W2" s="11"/>
    </row>
    <row r="3" spans="2:27"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7" s="8" customFormat="1" ht="21" x14ac:dyDescent="0.5">
      <c r="B4" s="14"/>
      <c r="C4" s="273" t="s">
        <v>134</v>
      </c>
      <c r="D4" s="274"/>
      <c r="E4" s="274"/>
      <c r="F4" s="275"/>
      <c r="G4" s="308" t="s">
        <v>135</v>
      </c>
      <c r="H4" s="309"/>
      <c r="I4" s="310"/>
      <c r="J4" s="303" t="s">
        <v>92</v>
      </c>
      <c r="K4" s="304"/>
      <c r="L4" s="305"/>
      <c r="M4" s="146" t="s">
        <v>93</v>
      </c>
      <c r="N4" s="147"/>
      <c r="O4" s="147"/>
      <c r="P4" s="147"/>
      <c r="Q4" s="147"/>
      <c r="R4" s="147"/>
      <c r="S4" s="147"/>
      <c r="T4" s="147"/>
      <c r="U4" s="147"/>
      <c r="V4" s="148"/>
      <c r="W4" s="13"/>
      <c r="X4"/>
      <c r="Y4"/>
      <c r="Z4"/>
      <c r="AA4"/>
    </row>
    <row r="5" spans="2:27" x14ac:dyDescent="0.35">
      <c r="B5" s="12"/>
      <c r="C5" s="99"/>
      <c r="G5" s="288" t="s">
        <v>43</v>
      </c>
      <c r="H5" s="289"/>
      <c r="I5" s="290"/>
      <c r="J5" s="279" t="s">
        <v>43</v>
      </c>
      <c r="K5" s="280"/>
      <c r="L5" s="281"/>
      <c r="M5" s="297"/>
      <c r="N5" s="297"/>
      <c r="O5" s="297"/>
      <c r="P5" s="297"/>
      <c r="Q5" s="297"/>
      <c r="R5" s="297"/>
      <c r="S5" s="297"/>
      <c r="T5" s="297"/>
      <c r="U5" s="297"/>
      <c r="V5" s="298"/>
      <c r="W5" s="13"/>
    </row>
    <row r="6" spans="2:27" x14ac:dyDescent="0.35">
      <c r="B6" s="12"/>
      <c r="C6" s="6" t="s">
        <v>94</v>
      </c>
      <c r="D6" s="6" t="s">
        <v>43</v>
      </c>
      <c r="E6" s="6" t="s">
        <v>95</v>
      </c>
      <c r="F6" s="141" t="s">
        <v>43</v>
      </c>
      <c r="G6" s="291"/>
      <c r="H6" s="292"/>
      <c r="I6" s="293"/>
      <c r="J6" s="282"/>
      <c r="K6" s="283"/>
      <c r="L6" s="284"/>
      <c r="M6" s="299"/>
      <c r="N6" s="299"/>
      <c r="O6" s="299"/>
      <c r="P6" s="299"/>
      <c r="Q6" s="299"/>
      <c r="R6" s="299"/>
      <c r="S6" s="299"/>
      <c r="T6" s="299"/>
      <c r="U6" s="299"/>
      <c r="V6" s="300"/>
      <c r="W6" s="13"/>
    </row>
    <row r="7" spans="2:27" ht="35.25" customHeight="1" x14ac:dyDescent="0.35">
      <c r="B7" s="12"/>
      <c r="C7" s="25" t="s">
        <v>37</v>
      </c>
      <c r="D7" s="7"/>
      <c r="E7" s="25">
        <v>40075267</v>
      </c>
      <c r="F7" s="142"/>
      <c r="G7" s="291"/>
      <c r="H7" s="292"/>
      <c r="I7" s="293"/>
      <c r="J7" s="282"/>
      <c r="K7" s="283"/>
      <c r="L7" s="284"/>
      <c r="M7" s="299"/>
      <c r="N7" s="299"/>
      <c r="O7" s="299"/>
      <c r="P7" s="299"/>
      <c r="Q7" s="299"/>
      <c r="R7" s="299"/>
      <c r="S7" s="299"/>
      <c r="T7" s="299"/>
      <c r="U7" s="299"/>
      <c r="V7" s="300"/>
      <c r="W7" s="13"/>
    </row>
    <row r="8" spans="2:27" ht="49.9" customHeight="1" x14ac:dyDescent="0.35">
      <c r="B8" s="12"/>
      <c r="C8" s="311" t="s">
        <v>136</v>
      </c>
      <c r="D8" s="312"/>
      <c r="E8" s="312"/>
      <c r="F8" s="312"/>
      <c r="G8" s="294"/>
      <c r="H8" s="295"/>
      <c r="I8" s="296"/>
      <c r="J8" s="285"/>
      <c r="K8" s="286"/>
      <c r="L8" s="287"/>
      <c r="M8" s="301"/>
      <c r="N8" s="301"/>
      <c r="O8" s="301"/>
      <c r="P8" s="301"/>
      <c r="Q8" s="301"/>
      <c r="R8" s="301"/>
      <c r="S8" s="301"/>
      <c r="T8" s="301"/>
      <c r="U8" s="301"/>
      <c r="V8" s="302"/>
      <c r="W8" s="13"/>
    </row>
    <row r="9" spans="2:27" s="2" customFormat="1" ht="160.15" customHeight="1" x14ac:dyDescent="0.35">
      <c r="B9" s="15"/>
      <c r="C9" s="45" t="s">
        <v>97</v>
      </c>
      <c r="D9" s="45" t="s">
        <v>98</v>
      </c>
      <c r="E9" s="45" t="s">
        <v>99</v>
      </c>
      <c r="F9" s="45" t="s">
        <v>100</v>
      </c>
      <c r="G9" s="306" t="s">
        <v>156</v>
      </c>
      <c r="H9" s="307"/>
      <c r="I9" s="152" t="s">
        <v>203</v>
      </c>
      <c r="J9" s="153" t="s">
        <v>103</v>
      </c>
      <c r="K9" s="154" t="s">
        <v>104</v>
      </c>
      <c r="L9" s="153" t="s">
        <v>105</v>
      </c>
      <c r="M9" s="276" t="s">
        <v>106</v>
      </c>
      <c r="N9" s="277"/>
      <c r="O9" s="277"/>
      <c r="P9" s="277"/>
      <c r="Q9" s="277"/>
      <c r="R9" s="277"/>
      <c r="S9" s="277"/>
      <c r="T9" s="277"/>
      <c r="U9" s="277"/>
      <c r="V9" s="278"/>
      <c r="W9" s="13"/>
      <c r="X9"/>
      <c r="Y9"/>
      <c r="Z9"/>
      <c r="AA9"/>
    </row>
    <row r="10" spans="2:27" s="2" customFormat="1" ht="15.65" customHeight="1" x14ac:dyDescent="0.35">
      <c r="B10" s="15"/>
      <c r="C10" s="3"/>
      <c r="D10" s="3"/>
      <c r="E10" s="3"/>
      <c r="F10" s="3"/>
      <c r="G10" s="3"/>
      <c r="H10" s="3"/>
      <c r="I10" s="3"/>
      <c r="J10" s="3"/>
      <c r="K10" s="3"/>
      <c r="L10" s="3"/>
      <c r="M10" s="162"/>
      <c r="N10" s="162"/>
      <c r="O10" s="162"/>
      <c r="P10" s="162"/>
      <c r="Q10" s="162"/>
      <c r="R10" s="30" t="s">
        <v>115</v>
      </c>
      <c r="S10" s="30" t="s">
        <v>115</v>
      </c>
      <c r="T10" s="30" t="s">
        <v>115</v>
      </c>
      <c r="U10" s="30" t="s">
        <v>115</v>
      </c>
      <c r="V10" s="30" t="s">
        <v>115</v>
      </c>
      <c r="W10" s="16"/>
    </row>
    <row r="11" spans="2:27" s="2" customFormat="1" x14ac:dyDescent="0.35">
      <c r="B11" s="15"/>
      <c r="C11" s="5" t="s">
        <v>129</v>
      </c>
      <c r="D11" s="3"/>
      <c r="E11" s="21"/>
      <c r="F11" s="164"/>
      <c r="G11" s="151" t="s">
        <v>139</v>
      </c>
      <c r="H11" s="151" t="s">
        <v>140</v>
      </c>
      <c r="I11" s="151" t="s">
        <v>113</v>
      </c>
      <c r="J11" s="60"/>
      <c r="K11" s="60"/>
      <c r="L11" s="60"/>
      <c r="M11" s="30" t="s">
        <v>107</v>
      </c>
      <c r="N11" s="30" t="s">
        <v>108</v>
      </c>
      <c r="O11" s="30" t="s">
        <v>109</v>
      </c>
      <c r="P11" s="30" t="s">
        <v>110</v>
      </c>
      <c r="Q11" s="30" t="s">
        <v>111</v>
      </c>
      <c r="R11" s="37" t="s">
        <v>107</v>
      </c>
      <c r="S11" s="37" t="s">
        <v>108</v>
      </c>
      <c r="T11" s="37" t="s">
        <v>109</v>
      </c>
      <c r="U11" s="37" t="s">
        <v>110</v>
      </c>
      <c r="V11" s="37" t="s">
        <v>111</v>
      </c>
      <c r="W11" s="16"/>
    </row>
    <row r="12" spans="2:27" s="2" customFormat="1" x14ac:dyDescent="0.35">
      <c r="B12" s="15"/>
      <c r="C12" s="1"/>
      <c r="D12" s="26" t="s">
        <v>155</v>
      </c>
      <c r="E12" s="26">
        <v>3</v>
      </c>
      <c r="F12" s="172">
        <v>177.7</v>
      </c>
      <c r="G12" s="20" t="s">
        <v>117</v>
      </c>
      <c r="H12" s="1"/>
      <c r="I12" s="20"/>
      <c r="J12" s="168"/>
      <c r="K12" s="168">
        <f>+'Beregning og partsberegning'!F45</f>
        <v>1.2689281786650877E-2</v>
      </c>
      <c r="L12" s="168">
        <f>+K12*(F12/20)</f>
        <v>0.11274426867439304</v>
      </c>
      <c r="M12" s="169"/>
      <c r="N12" s="163"/>
      <c r="O12" s="169"/>
      <c r="P12" s="169"/>
      <c r="Q12" s="169"/>
      <c r="R12" s="169"/>
      <c r="S12" s="169"/>
      <c r="T12" s="169"/>
      <c r="U12" s="32" t="s">
        <v>117</v>
      </c>
      <c r="V12" s="163"/>
      <c r="W12" s="16"/>
      <c r="Y12" s="175" t="s">
        <v>43</v>
      </c>
    </row>
    <row r="13" spans="2:27" s="2" customFormat="1" ht="25.5" customHeight="1" x14ac:dyDescent="0.35">
      <c r="B13" s="15"/>
      <c r="D13" s="67"/>
      <c r="E13" s="67"/>
      <c r="F13" s="171"/>
      <c r="G13" s="65"/>
      <c r="I13" s="65"/>
      <c r="J13" s="74"/>
      <c r="K13" s="74"/>
      <c r="L13" s="74"/>
      <c r="M13"/>
      <c r="O13"/>
      <c r="P13"/>
      <c r="Q13"/>
      <c r="R13"/>
      <c r="S13"/>
      <c r="T13"/>
      <c r="U13" s="170"/>
      <c r="W13" s="16"/>
    </row>
    <row r="14" spans="2:27" s="2" customFormat="1" ht="15" thickBot="1" x14ac:dyDescent="0.4">
      <c r="B14" s="15"/>
      <c r="C14" s="63"/>
      <c r="D14" s="67"/>
      <c r="E14" s="67"/>
      <c r="F14" s="64"/>
      <c r="G14" s="65"/>
      <c r="H14" s="65"/>
      <c r="I14" s="65"/>
      <c r="J14" s="74"/>
      <c r="K14" s="120" t="s">
        <v>42</v>
      </c>
      <c r="L14" s="69">
        <f>+L12</f>
        <v>0.11274426867439304</v>
      </c>
      <c r="M14"/>
      <c r="N14" s="179" t="s">
        <v>131</v>
      </c>
      <c r="O14" s="178">
        <f>35000*(F12/20)</f>
        <v>310975</v>
      </c>
      <c r="P14" s="2" t="s">
        <v>54</v>
      </c>
      <c r="W14" s="16"/>
    </row>
    <row r="15" spans="2:27" ht="9" customHeight="1" thickTop="1" thickBot="1" x14ac:dyDescent="0.4">
      <c r="B15" s="17"/>
      <c r="C15" s="18"/>
      <c r="D15" s="18"/>
      <c r="E15" s="18"/>
      <c r="F15" s="18"/>
      <c r="G15" s="22"/>
      <c r="H15" s="22"/>
      <c r="I15" s="22"/>
      <c r="J15" s="18"/>
      <c r="K15" s="18"/>
      <c r="L15" s="18"/>
      <c r="M15" s="18"/>
      <c r="N15" s="18"/>
      <c r="O15" s="18"/>
      <c r="P15" s="18"/>
      <c r="Q15" s="18"/>
      <c r="R15" s="18"/>
      <c r="S15" s="18"/>
      <c r="T15" s="18"/>
      <c r="U15" s="18"/>
      <c r="V15" s="18"/>
      <c r="W15" s="19"/>
    </row>
    <row r="16" spans="2:27" ht="9" customHeight="1" x14ac:dyDescent="0.35">
      <c r="G16" s="23"/>
      <c r="H16" s="23"/>
      <c r="I16" s="23"/>
    </row>
    <row r="17" spans="7:18" x14ac:dyDescent="0.35">
      <c r="G17" s="23"/>
      <c r="H17" s="23"/>
      <c r="I17" s="23"/>
      <c r="N17" t="s">
        <v>43</v>
      </c>
    </row>
    <row r="18" spans="7:18" x14ac:dyDescent="0.35">
      <c r="M18" t="s">
        <v>43</v>
      </c>
    </row>
    <row r="19" spans="7:18" x14ac:dyDescent="0.35">
      <c r="R19" t="s">
        <v>43</v>
      </c>
    </row>
  </sheetData>
  <mergeCells count="10">
    <mergeCell ref="G9:H9"/>
    <mergeCell ref="M9:V9"/>
    <mergeCell ref="C3:V3"/>
    <mergeCell ref="C4:F4"/>
    <mergeCell ref="G4:I4"/>
    <mergeCell ref="J4:L4"/>
    <mergeCell ref="G5:I8"/>
    <mergeCell ref="J5:L8"/>
    <mergeCell ref="M5:V8"/>
    <mergeCell ref="C8:F8"/>
  </mergeCells>
  <pageMargins left="0.7" right="0.7" top="0.75" bottom="0.75" header="0.3" footer="0.3"/>
  <pageSetup paperSize="8" scale="33"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C6853-8675-4545-85D5-14F330EBD872}">
  <sheetPr>
    <pageSetUpPr fitToPage="1"/>
  </sheetPr>
  <dimension ref="B1:J20"/>
  <sheetViews>
    <sheetView showGridLines="0" zoomScale="68" zoomScaleNormal="68" workbookViewId="0">
      <selection activeCell="C7" sqref="C7"/>
    </sheetView>
  </sheetViews>
  <sheetFormatPr defaultRowHeight="14.5" x14ac:dyDescent="0.35"/>
  <cols>
    <col min="1" max="2" width="1.81640625" customWidth="1"/>
    <col min="3" max="3" width="61.81640625" customWidth="1"/>
    <col min="4" max="4" width="25.7265625" customWidth="1"/>
    <col min="5" max="6" width="15.7265625" customWidth="1"/>
    <col min="7" max="9" width="25.7265625" customWidth="1"/>
    <col min="10" max="10" width="1.7265625" customWidth="1"/>
  </cols>
  <sheetData>
    <row r="1" spans="2:10" ht="7.15" customHeight="1" thickBot="1" x14ac:dyDescent="0.4"/>
    <row r="2" spans="2:10" ht="6" customHeight="1" x14ac:dyDescent="0.35">
      <c r="B2" s="9" t="s">
        <v>43</v>
      </c>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141</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37</v>
      </c>
      <c r="D7" s="7"/>
      <c r="E7" s="25">
        <v>40075267</v>
      </c>
      <c r="F7" s="31"/>
      <c r="G7" s="282"/>
      <c r="H7" s="283"/>
      <c r="I7" s="284"/>
      <c r="J7" s="13"/>
    </row>
    <row r="8" spans="2:10" ht="49.9" customHeight="1" x14ac:dyDescent="0.35">
      <c r="B8" s="12"/>
      <c r="C8" s="311" t="s">
        <v>159</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3"/>
      <c r="D10" s="3"/>
      <c r="E10" s="3"/>
      <c r="F10" s="3"/>
      <c r="G10" s="3"/>
      <c r="H10" s="3"/>
      <c r="I10" s="3"/>
      <c r="J10" s="13"/>
    </row>
    <row r="11" spans="2:10" x14ac:dyDescent="0.35">
      <c r="B11" s="12"/>
      <c r="C11" s="5" t="s">
        <v>112</v>
      </c>
      <c r="D11" s="3"/>
      <c r="E11" s="3"/>
      <c r="F11" s="3"/>
      <c r="G11" s="3"/>
      <c r="H11" s="3"/>
      <c r="I11" s="3"/>
      <c r="J11" s="13"/>
    </row>
    <row r="12" spans="2:10" ht="30" customHeight="1" x14ac:dyDescent="0.35">
      <c r="B12" s="12"/>
      <c r="C12" s="1"/>
      <c r="D12" s="26" t="s">
        <v>199</v>
      </c>
      <c r="E12" s="26">
        <v>4</v>
      </c>
      <c r="F12" s="27" t="s">
        <v>43</v>
      </c>
      <c r="G12" s="34">
        <f>+'Beregning og partsberegning'!H45</f>
        <v>1E-3</v>
      </c>
      <c r="H12" s="34"/>
      <c r="I12" s="34">
        <f t="shared" ref="I12" si="0">+G12*E12</f>
        <v>4.0000000000000001E-3</v>
      </c>
      <c r="J12" s="13"/>
    </row>
    <row r="13" spans="2:10" x14ac:dyDescent="0.35">
      <c r="B13" s="12"/>
      <c r="D13" s="26" t="s">
        <v>123</v>
      </c>
      <c r="E13" s="26">
        <v>4</v>
      </c>
      <c r="F13" s="176"/>
      <c r="G13" s="52">
        <f>+G12</f>
        <v>1E-3</v>
      </c>
      <c r="H13" s="30"/>
      <c r="I13" s="52">
        <f>+G13*E13</f>
        <v>4.0000000000000001E-3</v>
      </c>
      <c r="J13" s="13"/>
    </row>
    <row r="14" spans="2:10" x14ac:dyDescent="0.35">
      <c r="B14" s="12"/>
      <c r="C14" s="5" t="s">
        <v>129</v>
      </c>
      <c r="D14" s="3"/>
      <c r="E14" s="21"/>
      <c r="F14" s="87"/>
      <c r="G14" s="60"/>
      <c r="H14" s="60"/>
      <c r="I14" s="60"/>
      <c r="J14" s="13"/>
    </row>
    <row r="15" spans="2:10" x14ac:dyDescent="0.35">
      <c r="B15" s="12"/>
      <c r="C15" s="1"/>
      <c r="D15" s="26" t="s">
        <v>155</v>
      </c>
      <c r="E15" s="26">
        <v>25</v>
      </c>
      <c r="F15" s="161">
        <v>1392.6000000000001</v>
      </c>
      <c r="G15" s="36"/>
      <c r="H15" s="34">
        <f>+G13</f>
        <v>1E-3</v>
      </c>
      <c r="I15" s="34">
        <f>+H15*(F15/20)</f>
        <v>6.9630000000000011E-2</v>
      </c>
      <c r="J15" s="13"/>
    </row>
    <row r="16" spans="2:10" ht="29" x14ac:dyDescent="0.35">
      <c r="B16" s="12"/>
      <c r="C16" s="1"/>
      <c r="D16" s="26" t="s">
        <v>158</v>
      </c>
      <c r="E16" s="26">
        <v>8</v>
      </c>
      <c r="F16" s="176"/>
      <c r="G16" s="30"/>
      <c r="H16" s="168">
        <f>+H15</f>
        <v>1E-3</v>
      </c>
      <c r="I16" s="168">
        <f>+H16*E16</f>
        <v>8.0000000000000002E-3</v>
      </c>
      <c r="J16" s="13"/>
    </row>
    <row r="17" spans="2:10" x14ac:dyDescent="0.35">
      <c r="B17" s="12"/>
      <c r="C17" s="2"/>
      <c r="D17" s="67"/>
      <c r="E17" s="67"/>
      <c r="F17" s="72"/>
      <c r="H17" s="75"/>
      <c r="I17" s="75"/>
      <c r="J17" s="13"/>
    </row>
    <row r="18" spans="2:10" ht="15" thickBot="1" x14ac:dyDescent="0.4">
      <c r="B18" s="12"/>
      <c r="H18" s="120" t="s">
        <v>42</v>
      </c>
      <c r="I18" s="68">
        <f>+SUM(I12:I16)</f>
        <v>8.5630000000000012E-2</v>
      </c>
      <c r="J18" s="13"/>
    </row>
    <row r="19" spans="2:10" ht="9" customHeight="1" thickTop="1" thickBot="1" x14ac:dyDescent="0.4">
      <c r="B19" s="17"/>
      <c r="C19" s="18"/>
      <c r="D19" s="18"/>
      <c r="E19" s="18"/>
      <c r="F19" s="18"/>
      <c r="G19" s="18"/>
      <c r="H19" s="18"/>
      <c r="I19" s="18"/>
      <c r="J19" s="19"/>
    </row>
    <row r="20" spans="2:10" ht="9" customHeight="1" x14ac:dyDescent="0.35"/>
  </sheetData>
  <mergeCells count="6">
    <mergeCell ref="C3:I3"/>
    <mergeCell ref="C4:F4"/>
    <mergeCell ref="G4:I4"/>
    <mergeCell ref="C5:F5"/>
    <mergeCell ref="G5:I8"/>
    <mergeCell ref="C8:F8"/>
  </mergeCells>
  <pageMargins left="0.7" right="0.7" top="0.75" bottom="0.75" header="0.3" footer="0.3"/>
  <pageSetup paperSize="8" scale="9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7AE10-FCE7-468E-9DD3-6116A4F7EB77}">
  <sheetPr>
    <pageSetUpPr fitToPage="1"/>
  </sheetPr>
  <dimension ref="B1:W32"/>
  <sheetViews>
    <sheetView showGridLines="0" zoomScale="70" zoomScaleNormal="70" workbookViewId="0">
      <selection activeCell="C7" sqref="C7"/>
    </sheetView>
  </sheetViews>
  <sheetFormatPr defaultRowHeight="14.5" x14ac:dyDescent="0.35"/>
  <cols>
    <col min="1" max="1" width="1.26953125" customWidth="1"/>
    <col min="2" max="2" width="1.54296875" customWidth="1"/>
    <col min="3" max="3" width="45.7265625" customWidth="1"/>
    <col min="4" max="4" width="15.453125" customWidth="1"/>
    <col min="5" max="6" width="15.54296875" customWidth="1"/>
    <col min="7" max="7" width="35.7265625" customWidth="1"/>
    <col min="8" max="8" width="25.7265625" customWidth="1"/>
    <col min="9" max="9" width="68.453125" customWidth="1"/>
    <col min="10" max="13" width="25.7265625" customWidth="1"/>
    <col min="14" max="14" width="35.26953125" customWidth="1"/>
    <col min="15" max="22" width="25.7265625" customWidth="1"/>
    <col min="23" max="23" width="1.453125" customWidth="1"/>
  </cols>
  <sheetData>
    <row r="1" spans="2:23" ht="6"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39</v>
      </c>
      <c r="D7" s="7"/>
      <c r="E7" s="25">
        <v>17414003</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204</v>
      </c>
      <c r="H9" s="307"/>
      <c r="I9" s="152" t="s">
        <v>205</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x14ac:dyDescent="0.35">
      <c r="B12" s="12"/>
      <c r="C12" s="1"/>
      <c r="D12" s="26" t="s">
        <v>206</v>
      </c>
      <c r="E12" s="88">
        <v>10</v>
      </c>
      <c r="F12" s="27" t="s">
        <v>43</v>
      </c>
      <c r="G12" s="30"/>
      <c r="H12" s="37" t="s">
        <v>117</v>
      </c>
      <c r="I12" s="30"/>
      <c r="J12" s="41">
        <f>+'Beregning og partsberegning'!H$34</f>
        <v>4.9153994220801052E-3</v>
      </c>
      <c r="K12" s="38"/>
      <c r="L12" s="52">
        <f>+J12*E12</f>
        <v>4.9153994220801051E-2</v>
      </c>
      <c r="M12" s="30"/>
      <c r="N12" s="30"/>
      <c r="O12" s="30"/>
      <c r="P12" s="30"/>
      <c r="Q12" s="32" t="s">
        <v>117</v>
      </c>
      <c r="R12" s="30" t="s">
        <v>43</v>
      </c>
      <c r="S12" s="30"/>
      <c r="T12" s="30"/>
      <c r="U12" s="30"/>
      <c r="V12" s="30"/>
      <c r="W12" s="13"/>
    </row>
    <row r="13" spans="2:23" x14ac:dyDescent="0.35">
      <c r="B13" s="12"/>
      <c r="C13" s="1"/>
      <c r="D13" s="26" t="s">
        <v>207</v>
      </c>
      <c r="E13" s="88">
        <v>12</v>
      </c>
      <c r="F13" s="27" t="s">
        <v>43</v>
      </c>
      <c r="G13" s="30"/>
      <c r="H13" s="37" t="s">
        <v>117</v>
      </c>
      <c r="I13" s="30"/>
      <c r="J13" s="41">
        <f>+'Beregning og partsberegning'!H$34</f>
        <v>4.9153994220801052E-3</v>
      </c>
      <c r="K13" s="38"/>
      <c r="L13" s="52">
        <f t="shared" ref="L13:L24" si="0">+J13*E13</f>
        <v>5.8984793064961266E-2</v>
      </c>
      <c r="M13" s="30"/>
      <c r="N13" s="30"/>
      <c r="O13" s="30"/>
      <c r="P13" s="30"/>
      <c r="Q13" s="32" t="s">
        <v>117</v>
      </c>
      <c r="R13" s="30"/>
      <c r="S13" s="30"/>
      <c r="T13" s="30"/>
      <c r="U13" s="30"/>
      <c r="V13" s="30"/>
      <c r="W13" s="13"/>
    </row>
    <row r="14" spans="2:23" x14ac:dyDescent="0.35">
      <c r="B14" s="12"/>
      <c r="C14" s="1"/>
      <c r="D14" s="26" t="s">
        <v>208</v>
      </c>
      <c r="E14" s="88">
        <v>25</v>
      </c>
      <c r="F14" s="27" t="s">
        <v>43</v>
      </c>
      <c r="G14" s="30"/>
      <c r="H14" s="37" t="s">
        <v>117</v>
      </c>
      <c r="I14" s="30"/>
      <c r="J14" s="41">
        <f>+'Beregning og partsberegning'!H$34</f>
        <v>4.9153994220801052E-3</v>
      </c>
      <c r="K14" s="38"/>
      <c r="L14" s="52">
        <f t="shared" si="0"/>
        <v>0.12288498555200263</v>
      </c>
      <c r="M14" s="30"/>
      <c r="N14" s="30"/>
      <c r="O14" s="30"/>
      <c r="P14" s="30"/>
      <c r="Q14" s="32" t="s">
        <v>117</v>
      </c>
      <c r="R14" s="30"/>
      <c r="S14" s="30"/>
      <c r="T14" s="30"/>
      <c r="U14" s="30"/>
      <c r="V14" s="30"/>
      <c r="W14" s="13"/>
    </row>
    <row r="15" spans="2:23" ht="29" x14ac:dyDescent="0.35">
      <c r="B15" s="12"/>
      <c r="C15" s="1"/>
      <c r="D15" s="26" t="s">
        <v>209</v>
      </c>
      <c r="E15" s="88">
        <v>13</v>
      </c>
      <c r="F15" s="27" t="s">
        <v>43</v>
      </c>
      <c r="G15" s="30"/>
      <c r="H15" s="37" t="s">
        <v>117</v>
      </c>
      <c r="I15" s="30"/>
      <c r="J15" s="41">
        <f>+'Beregning og partsberegning'!H$34</f>
        <v>4.9153994220801052E-3</v>
      </c>
      <c r="K15" s="38"/>
      <c r="L15" s="52">
        <f t="shared" si="0"/>
        <v>6.3900192487041374E-2</v>
      </c>
      <c r="M15" s="30"/>
      <c r="N15" s="30"/>
      <c r="O15" s="30"/>
      <c r="P15" s="30"/>
      <c r="Q15" s="32" t="s">
        <v>117</v>
      </c>
      <c r="R15" s="30"/>
      <c r="S15" s="30"/>
      <c r="T15" s="30"/>
      <c r="U15" s="30"/>
      <c r="V15" s="30"/>
      <c r="W15" s="13"/>
    </row>
    <row r="16" spans="2:23" x14ac:dyDescent="0.35">
      <c r="B16" s="12"/>
      <c r="C16" s="1"/>
      <c r="D16" s="26" t="s">
        <v>120</v>
      </c>
      <c r="E16" s="88">
        <v>977</v>
      </c>
      <c r="F16" s="27" t="s">
        <v>43</v>
      </c>
      <c r="G16" s="30"/>
      <c r="H16" s="37" t="s">
        <v>117</v>
      </c>
      <c r="I16" s="30"/>
      <c r="J16" s="41">
        <f>+'Beregning og partsberegning'!H$34</f>
        <v>4.9153994220801052E-3</v>
      </c>
      <c r="K16" s="38"/>
      <c r="L16" s="52">
        <f t="shared" si="0"/>
        <v>4.8023452353722629</v>
      </c>
      <c r="M16" s="30"/>
      <c r="N16" s="30"/>
      <c r="O16" s="30"/>
      <c r="P16" s="30"/>
      <c r="Q16" s="32" t="s">
        <v>117</v>
      </c>
      <c r="R16" s="30"/>
      <c r="S16" s="30"/>
      <c r="T16" s="30"/>
      <c r="U16" s="30"/>
      <c r="V16" s="30"/>
      <c r="W16" s="13"/>
    </row>
    <row r="17" spans="2:23" x14ac:dyDescent="0.35">
      <c r="B17" s="12"/>
      <c r="C17" s="1"/>
      <c r="D17" s="26" t="s">
        <v>210</v>
      </c>
      <c r="E17" s="88">
        <v>1</v>
      </c>
      <c r="F17" s="27" t="s">
        <v>43</v>
      </c>
      <c r="G17" s="30"/>
      <c r="H17" s="37" t="s">
        <v>117</v>
      </c>
      <c r="I17" s="30"/>
      <c r="J17" s="41">
        <f>+'Beregning og partsberegning'!H$34</f>
        <v>4.9153994220801052E-3</v>
      </c>
      <c r="K17" s="38"/>
      <c r="L17" s="52">
        <f t="shared" si="0"/>
        <v>4.9153994220801052E-3</v>
      </c>
      <c r="M17" s="30"/>
      <c r="N17" s="30"/>
      <c r="O17" s="30"/>
      <c r="P17" s="30"/>
      <c r="Q17" s="32" t="s">
        <v>117</v>
      </c>
      <c r="R17" s="30"/>
      <c r="S17" s="30"/>
      <c r="T17" s="30"/>
      <c r="U17" s="30"/>
      <c r="V17" s="30"/>
      <c r="W17" s="13"/>
    </row>
    <row r="18" spans="2:23" x14ac:dyDescent="0.35">
      <c r="B18" s="12"/>
      <c r="C18" s="1"/>
      <c r="D18" s="26" t="s">
        <v>211</v>
      </c>
      <c r="E18" s="88">
        <v>3</v>
      </c>
      <c r="F18" s="27" t="s">
        <v>43</v>
      </c>
      <c r="G18" s="30"/>
      <c r="H18" s="37" t="s">
        <v>117</v>
      </c>
      <c r="I18" s="30"/>
      <c r="J18" s="41">
        <f>+'Beregning og partsberegning'!H$34</f>
        <v>4.9153994220801052E-3</v>
      </c>
      <c r="K18" s="38"/>
      <c r="L18" s="52">
        <f t="shared" si="0"/>
        <v>1.4746198266240317E-2</v>
      </c>
      <c r="M18" s="30"/>
      <c r="N18" s="30"/>
      <c r="O18" s="30"/>
      <c r="P18" s="30"/>
      <c r="Q18" s="32" t="s">
        <v>117</v>
      </c>
      <c r="R18" s="30"/>
      <c r="S18" s="30"/>
      <c r="T18" s="30"/>
      <c r="U18" s="30"/>
      <c r="V18" s="30"/>
      <c r="W18" s="13"/>
    </row>
    <row r="19" spans="2:23" x14ac:dyDescent="0.35">
      <c r="B19" s="12"/>
      <c r="C19" s="1"/>
      <c r="D19" s="26" t="s">
        <v>212</v>
      </c>
      <c r="E19" s="88">
        <v>1</v>
      </c>
      <c r="F19" s="27" t="s">
        <v>43</v>
      </c>
      <c r="G19" s="30"/>
      <c r="H19" s="37" t="s">
        <v>117</v>
      </c>
      <c r="I19" s="30"/>
      <c r="J19" s="41">
        <f>+'Beregning og partsberegning'!H$34</f>
        <v>4.9153994220801052E-3</v>
      </c>
      <c r="K19" s="38"/>
      <c r="L19" s="52">
        <f t="shared" si="0"/>
        <v>4.9153994220801052E-3</v>
      </c>
      <c r="M19" s="30"/>
      <c r="N19" s="30"/>
      <c r="O19" s="30"/>
      <c r="P19" s="30"/>
      <c r="Q19" s="32" t="s">
        <v>117</v>
      </c>
      <c r="R19" s="30"/>
      <c r="S19" s="30"/>
      <c r="T19" s="30"/>
      <c r="U19" s="30"/>
      <c r="V19" s="30"/>
      <c r="W19" s="13"/>
    </row>
    <row r="20" spans="2:23" x14ac:dyDescent="0.35">
      <c r="B20" s="12"/>
      <c r="C20" s="1"/>
      <c r="D20" s="26" t="s">
        <v>187</v>
      </c>
      <c r="E20" s="88">
        <v>3</v>
      </c>
      <c r="F20" s="27" t="s">
        <v>43</v>
      </c>
      <c r="G20" s="30"/>
      <c r="H20" s="37" t="s">
        <v>117</v>
      </c>
      <c r="I20" s="30"/>
      <c r="J20" s="41">
        <f>+'Beregning og partsberegning'!H$34</f>
        <v>4.9153994220801052E-3</v>
      </c>
      <c r="K20" s="38"/>
      <c r="L20" s="52">
        <f t="shared" si="0"/>
        <v>1.4746198266240317E-2</v>
      </c>
      <c r="M20" s="30"/>
      <c r="N20" s="30"/>
      <c r="O20" s="30"/>
      <c r="P20" s="30"/>
      <c r="Q20" s="32" t="s">
        <v>117</v>
      </c>
      <c r="R20" s="30"/>
      <c r="S20" s="30"/>
      <c r="T20" s="30"/>
      <c r="U20" s="30"/>
      <c r="V20" s="30"/>
      <c r="W20" s="13"/>
    </row>
    <row r="21" spans="2:23" x14ac:dyDescent="0.35">
      <c r="B21" s="12"/>
      <c r="C21" s="1"/>
      <c r="D21" s="26" t="s">
        <v>213</v>
      </c>
      <c r="E21" s="88">
        <v>2</v>
      </c>
      <c r="F21" s="27" t="s">
        <v>43</v>
      </c>
      <c r="G21" s="30"/>
      <c r="H21" s="37" t="s">
        <v>117</v>
      </c>
      <c r="I21" s="30"/>
      <c r="J21" s="41">
        <f>+'Beregning og partsberegning'!H$34</f>
        <v>4.9153994220801052E-3</v>
      </c>
      <c r="K21" s="38"/>
      <c r="L21" s="52">
        <f t="shared" si="0"/>
        <v>9.8307988441602105E-3</v>
      </c>
      <c r="M21" s="30"/>
      <c r="N21" s="30"/>
      <c r="O21" s="30"/>
      <c r="P21" s="30"/>
      <c r="Q21" s="32" t="s">
        <v>117</v>
      </c>
      <c r="R21" s="30"/>
      <c r="S21" s="30"/>
      <c r="T21" s="30"/>
      <c r="U21" s="30"/>
      <c r="V21" s="30"/>
      <c r="W21" s="13"/>
    </row>
    <row r="22" spans="2:23" x14ac:dyDescent="0.35">
      <c r="B22" s="12"/>
      <c r="C22" s="1"/>
      <c r="D22" s="26" t="s">
        <v>214</v>
      </c>
      <c r="E22" s="88">
        <v>1</v>
      </c>
      <c r="F22" s="27" t="s">
        <v>43</v>
      </c>
      <c r="G22" s="30"/>
      <c r="H22" s="37" t="s">
        <v>117</v>
      </c>
      <c r="I22" s="30"/>
      <c r="J22" s="41">
        <f>+'Beregning og partsberegning'!H$34</f>
        <v>4.9153994220801052E-3</v>
      </c>
      <c r="K22" s="38"/>
      <c r="L22" s="52">
        <f t="shared" si="0"/>
        <v>4.9153994220801052E-3</v>
      </c>
      <c r="M22" s="30"/>
      <c r="N22" s="30"/>
      <c r="O22" s="30"/>
      <c r="P22" s="30"/>
      <c r="Q22" s="32" t="s">
        <v>117</v>
      </c>
      <c r="R22" s="30"/>
      <c r="S22" s="30"/>
      <c r="T22" s="30"/>
      <c r="U22" s="30"/>
      <c r="V22" s="30"/>
      <c r="W22" s="13"/>
    </row>
    <row r="23" spans="2:23" x14ac:dyDescent="0.35">
      <c r="B23" s="12"/>
      <c r="C23" s="1"/>
      <c r="D23" s="26" t="s">
        <v>150</v>
      </c>
      <c r="E23" s="88">
        <v>2</v>
      </c>
      <c r="F23" s="27" t="s">
        <v>43</v>
      </c>
      <c r="G23" s="30"/>
      <c r="H23" s="37" t="s">
        <v>117</v>
      </c>
      <c r="I23" s="30"/>
      <c r="J23" s="41">
        <f>+'Beregning og partsberegning'!H$34</f>
        <v>4.9153994220801052E-3</v>
      </c>
      <c r="K23" s="38"/>
      <c r="L23" s="52">
        <f t="shared" si="0"/>
        <v>9.8307988441602105E-3</v>
      </c>
      <c r="M23" s="30"/>
      <c r="N23" s="30"/>
      <c r="O23" s="30"/>
      <c r="P23" s="30"/>
      <c r="Q23" s="32" t="s">
        <v>117</v>
      </c>
      <c r="R23" s="30"/>
      <c r="S23" s="30"/>
      <c r="T23" s="30"/>
      <c r="U23" s="30"/>
      <c r="V23" s="30"/>
      <c r="W23" s="13"/>
    </row>
    <row r="24" spans="2:23" x14ac:dyDescent="0.35">
      <c r="B24" s="12"/>
      <c r="C24" s="5" t="s">
        <v>129</v>
      </c>
      <c r="D24" s="3"/>
      <c r="E24" s="89"/>
      <c r="F24" s="21"/>
      <c r="G24" s="33"/>
      <c r="H24" s="46"/>
      <c r="I24" s="33"/>
      <c r="J24" s="33"/>
      <c r="K24" s="33"/>
      <c r="L24" s="53">
        <f t="shared" si="0"/>
        <v>0</v>
      </c>
      <c r="M24" s="33"/>
      <c r="N24" s="33"/>
      <c r="O24" s="33"/>
      <c r="P24" s="33"/>
      <c r="Q24" s="33"/>
      <c r="R24" s="33"/>
      <c r="S24" s="33"/>
      <c r="T24" s="33"/>
      <c r="U24" s="33"/>
      <c r="V24" s="33"/>
      <c r="W24" s="13"/>
    </row>
    <row r="25" spans="2:23" ht="29" x14ac:dyDescent="0.35">
      <c r="B25" s="12"/>
      <c r="C25" s="1"/>
      <c r="D25" s="26" t="s">
        <v>215</v>
      </c>
      <c r="E25" s="88">
        <v>3427</v>
      </c>
      <c r="F25" s="112">
        <v>50699.500000000728</v>
      </c>
      <c r="G25" s="30"/>
      <c r="H25" s="37" t="s">
        <v>117</v>
      </c>
      <c r="I25" s="30"/>
      <c r="J25" s="30"/>
      <c r="K25" s="41">
        <f>+J23</f>
        <v>4.9153994220801052E-3</v>
      </c>
      <c r="L25" s="52">
        <f>+K25*(F25/20)</f>
        <v>12.460414649987694</v>
      </c>
      <c r="M25" s="30"/>
      <c r="N25" s="30"/>
      <c r="O25" s="30"/>
      <c r="Q25" s="30"/>
      <c r="R25" s="30"/>
      <c r="S25" s="30"/>
      <c r="T25" s="30"/>
      <c r="U25" s="32" t="s">
        <v>117</v>
      </c>
      <c r="V25" s="30"/>
      <c r="W25" s="13"/>
    </row>
    <row r="26" spans="2:23" ht="29" x14ac:dyDescent="0.35">
      <c r="B26" s="12"/>
      <c r="C26" s="1"/>
      <c r="D26" s="26" t="s">
        <v>216</v>
      </c>
      <c r="E26" s="88">
        <v>153</v>
      </c>
      <c r="F26" s="112">
        <v>7248.1000000000013</v>
      </c>
      <c r="G26" s="30"/>
      <c r="H26" s="37" t="s">
        <v>117</v>
      </c>
      <c r="I26" s="30"/>
      <c r="J26" s="30"/>
      <c r="K26" s="41">
        <f>+J23</f>
        <v>4.9153994220801052E-3</v>
      </c>
      <c r="L26" s="52">
        <f>+K26*(F26/20)</f>
        <v>1.7813653275589409</v>
      </c>
      <c r="M26" s="30"/>
      <c r="N26" s="30"/>
      <c r="O26" s="30"/>
      <c r="P26" s="30"/>
      <c r="Q26" s="30"/>
      <c r="R26" s="30"/>
      <c r="S26" s="30"/>
      <c r="T26" s="30"/>
      <c r="U26" s="30"/>
      <c r="V26" s="32" t="s">
        <v>117</v>
      </c>
      <c r="W26" s="13"/>
    </row>
    <row r="27" spans="2:23" x14ac:dyDescent="0.35">
      <c r="B27" s="12"/>
      <c r="C27" s="1"/>
      <c r="D27" s="26" t="s">
        <v>190</v>
      </c>
      <c r="E27" s="88">
        <v>3</v>
      </c>
      <c r="F27" s="112">
        <v>8.8000000000000007</v>
      </c>
      <c r="G27" s="30"/>
      <c r="H27" s="37" t="s">
        <v>117</v>
      </c>
      <c r="I27" s="30"/>
      <c r="J27" s="30"/>
      <c r="K27" s="41">
        <f>+K26</f>
        <v>4.9153994220801052E-3</v>
      </c>
      <c r="L27" s="52">
        <f>+K27*(F27/20)</f>
        <v>2.1627757457152465E-3</v>
      </c>
      <c r="M27" s="30"/>
      <c r="N27" s="30"/>
      <c r="O27" s="30"/>
      <c r="P27" s="30"/>
      <c r="Q27" s="30"/>
      <c r="R27" s="30"/>
      <c r="S27" s="30"/>
      <c r="T27" s="30"/>
      <c r="U27" s="30"/>
      <c r="V27" s="32" t="s">
        <v>117</v>
      </c>
      <c r="W27" s="13"/>
    </row>
    <row r="28" spans="2:23" x14ac:dyDescent="0.35">
      <c r="B28" s="12"/>
      <c r="C28" s="1"/>
      <c r="D28" s="26" t="s">
        <v>151</v>
      </c>
      <c r="E28" s="88">
        <v>15</v>
      </c>
      <c r="F28" s="112">
        <v>228.2</v>
      </c>
      <c r="G28" s="30"/>
      <c r="H28" s="37" t="s">
        <v>117</v>
      </c>
      <c r="I28" s="30"/>
      <c r="J28" s="30"/>
      <c r="K28" s="41">
        <f>+K27</f>
        <v>4.9153994220801052E-3</v>
      </c>
      <c r="L28" s="52">
        <f>+K28*(F28/20)</f>
        <v>5.6084707405933999E-2</v>
      </c>
      <c r="M28" s="30"/>
      <c r="N28" s="30"/>
      <c r="O28" s="30"/>
      <c r="P28" s="30"/>
      <c r="Q28" s="30"/>
      <c r="R28" s="30"/>
      <c r="S28" s="30"/>
      <c r="T28" s="30"/>
      <c r="U28" s="32" t="s">
        <v>117</v>
      </c>
      <c r="V28" s="30"/>
      <c r="W28" s="13"/>
    </row>
    <row r="29" spans="2:23" x14ac:dyDescent="0.35">
      <c r="B29" s="12"/>
      <c r="L29" s="54"/>
      <c r="W29" s="13"/>
    </row>
    <row r="30" spans="2:23" ht="15" thickBot="1" x14ac:dyDescent="0.4">
      <c r="B30" s="12"/>
      <c r="K30" s="117" t="s">
        <v>42</v>
      </c>
      <c r="L30" s="71">
        <f>+SUM(L12:L28)</f>
        <v>19.461196853882395</v>
      </c>
      <c r="M30" s="94"/>
      <c r="N30" s="179" t="s">
        <v>131</v>
      </c>
      <c r="O30" s="178">
        <f>+(SUM(E12:E23))*40000+((F25+F28)/20)*35000+((F26+F27)/20)*40000</f>
        <v>145637275.00000128</v>
      </c>
      <c r="P30" s="2" t="s">
        <v>54</v>
      </c>
      <c r="Q30" s="94"/>
      <c r="R30" s="94"/>
      <c r="S30" s="94"/>
      <c r="T30" s="94"/>
      <c r="U30" s="94"/>
      <c r="V30" s="94"/>
      <c r="W30" s="13"/>
    </row>
    <row r="31" spans="2:23" ht="7.15" customHeight="1" thickTop="1" thickBot="1" x14ac:dyDescent="0.4">
      <c r="B31" s="17"/>
      <c r="C31" s="18"/>
      <c r="D31" s="18"/>
      <c r="E31" s="18"/>
      <c r="F31" s="18"/>
      <c r="G31" s="18"/>
      <c r="H31" s="18"/>
      <c r="I31" s="18"/>
      <c r="J31" s="18"/>
      <c r="K31" s="18"/>
      <c r="L31" s="18"/>
      <c r="M31" s="18"/>
      <c r="N31" s="18"/>
      <c r="O31" s="18"/>
      <c r="P31" s="18"/>
      <c r="Q31" s="18"/>
      <c r="R31" s="18"/>
      <c r="S31" s="18"/>
      <c r="T31" s="18"/>
      <c r="U31" s="18"/>
      <c r="V31" s="18"/>
      <c r="W31" s="19"/>
    </row>
    <row r="32" spans="2:23" ht="7.15" customHeight="1" x14ac:dyDescent="0.35"/>
  </sheetData>
  <mergeCells count="10">
    <mergeCell ref="C3:V3"/>
    <mergeCell ref="G5:I8"/>
    <mergeCell ref="J5:L8"/>
    <mergeCell ref="M5:V8"/>
    <mergeCell ref="M9:V9"/>
    <mergeCell ref="G9:H9"/>
    <mergeCell ref="C4:F4"/>
    <mergeCell ref="G4:I4"/>
    <mergeCell ref="J4:L4"/>
    <mergeCell ref="C8:F8"/>
  </mergeCells>
  <pageMargins left="0.7" right="0.7" top="0.75" bottom="0.75" header="0.3" footer="0.3"/>
  <pageSetup paperSize="8" scale="3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A244F-BC76-42B6-9A3B-2AABB3F650CA}">
  <sheetPr>
    <pageSetUpPr fitToPage="1"/>
  </sheetPr>
  <dimension ref="B1:J26"/>
  <sheetViews>
    <sheetView showGridLines="0" zoomScale="106" zoomScaleNormal="106" workbookViewId="0">
      <selection activeCell="C7" sqref="C7"/>
    </sheetView>
  </sheetViews>
  <sheetFormatPr defaultRowHeight="14.5" x14ac:dyDescent="0.35"/>
  <cols>
    <col min="1" max="1" width="1.26953125" customWidth="1"/>
    <col min="2" max="2" width="1.453125" customWidth="1"/>
    <col min="3" max="3" width="45.7265625" customWidth="1"/>
    <col min="4" max="4" width="31.7265625" customWidth="1"/>
    <col min="5" max="6" width="15.7265625" customWidth="1"/>
    <col min="7" max="9" width="25.7265625" customWidth="1"/>
    <col min="10" max="10" width="1.7265625" customWidth="1"/>
  </cols>
  <sheetData>
    <row r="1" spans="2:10" ht="7.9" customHeight="1" thickBot="1" x14ac:dyDescent="0.4"/>
    <row r="2" spans="2:10" ht="5.5" customHeight="1" x14ac:dyDescent="0.35">
      <c r="B2" s="9"/>
      <c r="C2" s="10"/>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39</v>
      </c>
      <c r="D7" s="7"/>
      <c r="E7" s="25">
        <v>17414003</v>
      </c>
      <c r="F7" s="24"/>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40"/>
      <c r="D10" s="3"/>
      <c r="E10" s="3"/>
      <c r="F10" s="3"/>
      <c r="G10" s="3"/>
      <c r="H10" s="3"/>
      <c r="I10" s="3"/>
      <c r="J10" s="13"/>
    </row>
    <row r="11" spans="2:10" x14ac:dyDescent="0.35">
      <c r="B11" s="12"/>
      <c r="C11" s="5" t="s">
        <v>112</v>
      </c>
      <c r="D11" s="3"/>
      <c r="E11" s="3"/>
      <c r="F11" s="44"/>
      <c r="G11" s="48"/>
      <c r="H11" s="3"/>
      <c r="I11" s="3"/>
      <c r="J11" s="13"/>
    </row>
    <row r="12" spans="2:10" x14ac:dyDescent="0.35">
      <c r="B12" s="12"/>
      <c r="C12" s="1"/>
      <c r="D12" s="26" t="s">
        <v>207</v>
      </c>
      <c r="E12" s="88">
        <v>12</v>
      </c>
      <c r="F12" s="27" t="s">
        <v>43</v>
      </c>
      <c r="G12" s="38">
        <f>+'Beregning og partsberegning'!H$34</f>
        <v>4.9153994220801052E-3</v>
      </c>
      <c r="H12" s="30"/>
      <c r="I12" s="52">
        <f>+G12*E12</f>
        <v>5.8984793064961266E-2</v>
      </c>
      <c r="J12" s="13"/>
    </row>
    <row r="13" spans="2:10" x14ac:dyDescent="0.35">
      <c r="B13" s="12"/>
      <c r="C13" s="1"/>
      <c r="D13" s="26" t="s">
        <v>120</v>
      </c>
      <c r="E13" s="88">
        <v>353</v>
      </c>
      <c r="F13" s="27" t="s">
        <v>43</v>
      </c>
      <c r="G13" s="38">
        <f>+'Beregning og partsberegning'!H$34</f>
        <v>4.9153994220801052E-3</v>
      </c>
      <c r="H13" s="30"/>
      <c r="I13" s="52">
        <f>+G13*E13</f>
        <v>1.7351359959942771</v>
      </c>
      <c r="J13" s="13"/>
    </row>
    <row r="14" spans="2:10" x14ac:dyDescent="0.35">
      <c r="B14" s="12"/>
      <c r="C14" s="1"/>
      <c r="D14" s="26" t="s">
        <v>211</v>
      </c>
      <c r="E14" s="88">
        <v>1</v>
      </c>
      <c r="F14" s="27" t="s">
        <v>43</v>
      </c>
      <c r="G14" s="38">
        <f>+'Beregning og partsberegning'!H$34</f>
        <v>4.9153994220801052E-3</v>
      </c>
      <c r="H14" s="30"/>
      <c r="I14" s="52">
        <f>+G14*E14</f>
        <v>4.9153994220801052E-3</v>
      </c>
      <c r="J14" s="13"/>
    </row>
    <row r="15" spans="2:10" x14ac:dyDescent="0.35">
      <c r="B15" s="12"/>
      <c r="C15" s="1"/>
      <c r="D15" s="26" t="s">
        <v>187</v>
      </c>
      <c r="E15" s="88">
        <v>11</v>
      </c>
      <c r="F15" s="27" t="s">
        <v>43</v>
      </c>
      <c r="G15" s="38">
        <f>+'Beregning og partsberegning'!H$34</f>
        <v>4.9153994220801052E-3</v>
      </c>
      <c r="H15" s="30"/>
      <c r="I15" s="52">
        <f>+G15*E15</f>
        <v>5.4069393642881158E-2</v>
      </c>
      <c r="J15" s="13"/>
    </row>
    <row r="16" spans="2:10" x14ac:dyDescent="0.35">
      <c r="B16" s="12"/>
      <c r="C16" s="1"/>
      <c r="D16" s="26" t="s">
        <v>214</v>
      </c>
      <c r="E16" s="88">
        <v>1</v>
      </c>
      <c r="F16" s="27" t="s">
        <v>43</v>
      </c>
      <c r="G16" s="38">
        <f>+'Beregning og partsberegning'!H$34</f>
        <v>4.9153994220801052E-3</v>
      </c>
      <c r="H16" s="30"/>
      <c r="I16" s="52">
        <f>+G16*E16</f>
        <v>4.9153994220801052E-3</v>
      </c>
      <c r="J16" s="13"/>
    </row>
    <row r="17" spans="2:10" x14ac:dyDescent="0.35">
      <c r="B17" s="12"/>
      <c r="C17" s="1"/>
      <c r="D17" s="26" t="s">
        <v>150</v>
      </c>
      <c r="E17" s="113">
        <v>1</v>
      </c>
      <c r="F17" s="27" t="s">
        <v>43</v>
      </c>
      <c r="G17" s="38">
        <f>+'Beregning og partsberegning'!H$34</f>
        <v>4.9153994220801052E-3</v>
      </c>
      <c r="H17" s="30"/>
      <c r="I17" s="52">
        <f>+G17*E18</f>
        <v>0</v>
      </c>
      <c r="J17" s="13"/>
    </row>
    <row r="18" spans="2:10" x14ac:dyDescent="0.35">
      <c r="B18" s="12"/>
      <c r="C18" s="5" t="s">
        <v>129</v>
      </c>
      <c r="D18" s="3"/>
      <c r="E18" s="89"/>
      <c r="F18" s="21"/>
      <c r="G18" s="33" t="s">
        <v>43</v>
      </c>
      <c r="H18" s="33"/>
      <c r="I18" s="53" t="s">
        <v>43</v>
      </c>
      <c r="J18" s="13"/>
    </row>
    <row r="19" spans="2:10" x14ac:dyDescent="0.35">
      <c r="B19" s="12"/>
      <c r="C19" s="1"/>
      <c r="D19" s="26" t="s">
        <v>215</v>
      </c>
      <c r="E19" s="88">
        <v>1673</v>
      </c>
      <c r="F19" s="114">
        <v>20301.700000000048</v>
      </c>
      <c r="G19" s="30"/>
      <c r="H19" s="38">
        <f>+'Beregning og partsberegning'!H$34</f>
        <v>4.9153994220801052E-3</v>
      </c>
      <c r="I19" s="52">
        <f>+H19*(F19/20)</f>
        <v>4.9895482223621954</v>
      </c>
      <c r="J19" s="13"/>
    </row>
    <row r="20" spans="2:10" x14ac:dyDescent="0.35">
      <c r="B20" s="12"/>
      <c r="C20" s="1"/>
      <c r="D20" s="26" t="s">
        <v>190</v>
      </c>
      <c r="E20" s="88">
        <v>3</v>
      </c>
      <c r="F20" s="114">
        <v>3</v>
      </c>
      <c r="G20" s="30"/>
      <c r="H20" s="38">
        <f>+'Beregning og partsberegning'!H$34</f>
        <v>4.9153994220801052E-3</v>
      </c>
      <c r="I20" s="52">
        <f>+H20*(F20/20)</f>
        <v>7.3730991331201576E-4</v>
      </c>
      <c r="J20" s="13"/>
    </row>
    <row r="21" spans="2:10" x14ac:dyDescent="0.35">
      <c r="B21" s="12"/>
      <c r="C21" s="1"/>
      <c r="D21" s="26" t="s">
        <v>216</v>
      </c>
      <c r="E21" s="88">
        <v>3</v>
      </c>
      <c r="F21" s="114">
        <v>12.899999999999999</v>
      </c>
      <c r="G21" s="30"/>
      <c r="H21" s="38">
        <f>+'Beregning og partsberegning'!H$34</f>
        <v>4.9153994220801052E-3</v>
      </c>
      <c r="I21" s="52">
        <f>+H21*(F21/20)</f>
        <v>3.1704326272416674E-3</v>
      </c>
      <c r="J21" s="13"/>
    </row>
    <row r="22" spans="2:10" x14ac:dyDescent="0.35">
      <c r="B22" s="12"/>
      <c r="C22" s="1"/>
      <c r="D22" s="26" t="s">
        <v>151</v>
      </c>
      <c r="E22" s="88">
        <v>1</v>
      </c>
      <c r="F22" s="114">
        <v>2.1</v>
      </c>
      <c r="G22" s="30" t="s">
        <v>43</v>
      </c>
      <c r="H22" s="38">
        <f>+'Beregning og partsberegning'!H$34</f>
        <v>4.9153994220801052E-3</v>
      </c>
      <c r="I22" s="52">
        <f>+H22*(F22/20)</f>
        <v>5.1611693931841109E-4</v>
      </c>
      <c r="J22" s="13"/>
    </row>
    <row r="23" spans="2:10" x14ac:dyDescent="0.35">
      <c r="B23" s="12"/>
      <c r="I23" s="54"/>
      <c r="J23" s="13"/>
    </row>
    <row r="24" spans="2:10" ht="15" thickBot="1" x14ac:dyDescent="0.4">
      <c r="B24" s="12"/>
      <c r="D24" s="179" t="s">
        <v>131</v>
      </c>
      <c r="E24" s="178">
        <f>+(SUM(E12:E17))*40000+((F19+F21+F22)/20)*35000+(F20/20)*40000</f>
        <v>50720225.000000082</v>
      </c>
      <c r="F24" s="2" t="s">
        <v>54</v>
      </c>
      <c r="H24" s="117" t="s">
        <v>42</v>
      </c>
      <c r="I24" s="71">
        <f>+SUM(I12:I22)</f>
        <v>6.8519930633883463</v>
      </c>
      <c r="J24" s="13"/>
    </row>
    <row r="25" spans="2:10" ht="7.9" customHeight="1" thickTop="1" thickBot="1" x14ac:dyDescent="0.4">
      <c r="B25" s="17"/>
      <c r="C25" s="18"/>
      <c r="D25" s="18"/>
      <c r="E25" s="18"/>
      <c r="F25" s="18"/>
      <c r="G25" s="18"/>
      <c r="H25" s="18"/>
      <c r="I25" s="18"/>
      <c r="J25" s="19"/>
    </row>
    <row r="26" spans="2:10" ht="7.9" customHeight="1" x14ac:dyDescent="0.35"/>
  </sheetData>
  <mergeCells count="6">
    <mergeCell ref="C4:F4"/>
    <mergeCell ref="G4:I4"/>
    <mergeCell ref="C3:I3"/>
    <mergeCell ref="G5:I8"/>
    <mergeCell ref="C5:F5"/>
    <mergeCell ref="C8:F8"/>
  </mergeCells>
  <pageMargins left="0.7" right="0.7" top="0.75" bottom="0.75" header="0.3" footer="0.3"/>
  <pageSetup paperSize="8"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C2437-CA2B-4094-AA3F-ECFC99E11861}">
  <sheetPr>
    <pageSetUpPr fitToPage="1"/>
  </sheetPr>
  <dimension ref="B1:AA19"/>
  <sheetViews>
    <sheetView showGridLines="0" zoomScaleNormal="100" zoomScaleSheetLayoutView="40" workbookViewId="0">
      <selection activeCell="C7" sqref="C7"/>
    </sheetView>
  </sheetViews>
  <sheetFormatPr defaultRowHeight="14.5" x14ac:dyDescent="0.35"/>
  <cols>
    <col min="1" max="1" width="1.81640625" customWidth="1"/>
    <col min="2" max="2" width="1.54296875" customWidth="1"/>
    <col min="3" max="3" width="48.1796875" customWidth="1"/>
    <col min="4" max="4" width="18.453125" customWidth="1"/>
    <col min="5" max="5" width="18.1796875" customWidth="1"/>
    <col min="6" max="6" width="19" customWidth="1"/>
    <col min="7" max="7" width="35.7265625" customWidth="1"/>
    <col min="8" max="8" width="25.7265625" customWidth="1"/>
    <col min="9" max="9" width="63.26953125" customWidth="1"/>
    <col min="10" max="13" width="25.7265625" customWidth="1"/>
    <col min="14" max="14" width="35.453125" customWidth="1"/>
    <col min="15" max="22" width="25.7265625" customWidth="1"/>
    <col min="23" max="23" width="1.54296875" customWidth="1"/>
    <col min="24" max="24" width="2.54296875" customWidth="1"/>
    <col min="25" max="25" width="16" bestFit="1" customWidth="1"/>
  </cols>
  <sheetData>
    <row r="1" spans="2:27" ht="8.5" customHeight="1" thickBot="1" x14ac:dyDescent="0.4"/>
    <row r="2" spans="2:27" ht="6" customHeight="1" x14ac:dyDescent="0.35">
      <c r="B2" s="9"/>
      <c r="C2" s="10" t="s">
        <v>43</v>
      </c>
      <c r="D2" s="10"/>
      <c r="E2" s="10"/>
      <c r="F2" s="10"/>
      <c r="G2" s="10"/>
      <c r="H2" s="10"/>
      <c r="I2" s="10"/>
      <c r="J2" s="10"/>
      <c r="K2" s="10"/>
      <c r="L2" s="10"/>
      <c r="M2" s="10"/>
      <c r="N2" s="10"/>
      <c r="O2" s="10"/>
      <c r="P2" s="10"/>
      <c r="Q2" s="10"/>
      <c r="R2" s="10"/>
      <c r="S2" s="10"/>
      <c r="T2" s="10"/>
      <c r="U2" s="10"/>
      <c r="V2" s="10"/>
      <c r="W2" s="11"/>
    </row>
    <row r="3" spans="2:27"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7" s="8" customFormat="1" ht="21" x14ac:dyDescent="0.5">
      <c r="B4" s="14"/>
      <c r="C4" s="273" t="s">
        <v>134</v>
      </c>
      <c r="D4" s="274"/>
      <c r="E4" s="274"/>
      <c r="F4" s="275"/>
      <c r="G4" s="308" t="s">
        <v>135</v>
      </c>
      <c r="H4" s="309"/>
      <c r="I4" s="310"/>
      <c r="J4" s="303" t="s">
        <v>92</v>
      </c>
      <c r="K4" s="304"/>
      <c r="L4" s="305"/>
      <c r="M4" s="146" t="s">
        <v>93</v>
      </c>
      <c r="N4" s="147"/>
      <c r="O4" s="147"/>
      <c r="P4" s="147"/>
      <c r="Q4" s="147"/>
      <c r="R4" s="147"/>
      <c r="S4" s="147"/>
      <c r="T4" s="147"/>
      <c r="U4" s="147"/>
      <c r="V4" s="148"/>
      <c r="W4" s="13"/>
      <c r="X4"/>
      <c r="Y4"/>
      <c r="Z4"/>
      <c r="AA4"/>
    </row>
    <row r="5" spans="2:27" x14ac:dyDescent="0.35">
      <c r="B5" s="12"/>
      <c r="C5" s="99"/>
      <c r="G5" s="288" t="s">
        <v>43</v>
      </c>
      <c r="H5" s="289"/>
      <c r="I5" s="290"/>
      <c r="J5" s="279" t="s">
        <v>43</v>
      </c>
      <c r="K5" s="280"/>
      <c r="L5" s="281"/>
      <c r="M5" s="297"/>
      <c r="N5" s="297"/>
      <c r="O5" s="297"/>
      <c r="P5" s="297"/>
      <c r="Q5" s="297"/>
      <c r="R5" s="297"/>
      <c r="S5" s="297"/>
      <c r="T5" s="297"/>
      <c r="U5" s="297"/>
      <c r="V5" s="298"/>
      <c r="W5" s="13"/>
    </row>
    <row r="6" spans="2:27" x14ac:dyDescent="0.35">
      <c r="B6" s="12"/>
      <c r="C6" s="6" t="s">
        <v>94</v>
      </c>
      <c r="D6" s="6" t="s">
        <v>43</v>
      </c>
      <c r="E6" s="6" t="s">
        <v>95</v>
      </c>
      <c r="F6" s="141" t="s">
        <v>43</v>
      </c>
      <c r="G6" s="291"/>
      <c r="H6" s="292"/>
      <c r="I6" s="293"/>
      <c r="J6" s="282"/>
      <c r="K6" s="283"/>
      <c r="L6" s="284"/>
      <c r="M6" s="299"/>
      <c r="N6" s="299"/>
      <c r="O6" s="299"/>
      <c r="P6" s="299"/>
      <c r="Q6" s="299"/>
      <c r="R6" s="299"/>
      <c r="S6" s="299"/>
      <c r="T6" s="299"/>
      <c r="U6" s="299"/>
      <c r="V6" s="300"/>
      <c r="W6" s="13"/>
    </row>
    <row r="7" spans="2:27" ht="35.25" customHeight="1" x14ac:dyDescent="0.35">
      <c r="B7" s="12"/>
      <c r="C7" s="25" t="s">
        <v>39</v>
      </c>
      <c r="D7" s="7"/>
      <c r="E7" s="25">
        <v>17414003</v>
      </c>
      <c r="F7" s="142"/>
      <c r="G7" s="291"/>
      <c r="H7" s="292"/>
      <c r="I7" s="293"/>
      <c r="J7" s="282"/>
      <c r="K7" s="283"/>
      <c r="L7" s="284"/>
      <c r="M7" s="299"/>
      <c r="N7" s="299"/>
      <c r="O7" s="299"/>
      <c r="P7" s="299"/>
      <c r="Q7" s="299"/>
      <c r="R7" s="299"/>
      <c r="S7" s="299"/>
      <c r="T7" s="299"/>
      <c r="U7" s="299"/>
      <c r="V7" s="300"/>
      <c r="W7" s="13"/>
    </row>
    <row r="8" spans="2:27" ht="49.9" customHeight="1" x14ac:dyDescent="0.35">
      <c r="B8" s="12"/>
      <c r="C8" s="311" t="s">
        <v>136</v>
      </c>
      <c r="D8" s="312"/>
      <c r="E8" s="312"/>
      <c r="F8" s="312"/>
      <c r="G8" s="294"/>
      <c r="H8" s="295"/>
      <c r="I8" s="296"/>
      <c r="J8" s="285"/>
      <c r="K8" s="286"/>
      <c r="L8" s="287"/>
      <c r="M8" s="301"/>
      <c r="N8" s="301"/>
      <c r="O8" s="301"/>
      <c r="P8" s="301"/>
      <c r="Q8" s="301"/>
      <c r="R8" s="301"/>
      <c r="S8" s="301"/>
      <c r="T8" s="301"/>
      <c r="U8" s="301"/>
      <c r="V8" s="302"/>
      <c r="W8" s="13"/>
    </row>
    <row r="9" spans="2:27" s="2" customFormat="1" ht="160.15" customHeight="1" x14ac:dyDescent="0.35">
      <c r="B9" s="15"/>
      <c r="C9" s="45" t="s">
        <v>97</v>
      </c>
      <c r="D9" s="45" t="s">
        <v>98</v>
      </c>
      <c r="E9" s="45" t="s">
        <v>99</v>
      </c>
      <c r="F9" s="45" t="s">
        <v>100</v>
      </c>
      <c r="G9" s="306" t="s">
        <v>156</v>
      </c>
      <c r="H9" s="307"/>
      <c r="I9" s="152" t="s">
        <v>217</v>
      </c>
      <c r="J9" s="153" t="s">
        <v>103</v>
      </c>
      <c r="K9" s="154" t="s">
        <v>104</v>
      </c>
      <c r="L9" s="153" t="s">
        <v>105</v>
      </c>
      <c r="M9" s="276" t="s">
        <v>106</v>
      </c>
      <c r="N9" s="277"/>
      <c r="O9" s="277"/>
      <c r="P9" s="277"/>
      <c r="Q9" s="277"/>
      <c r="R9" s="277"/>
      <c r="S9" s="277"/>
      <c r="T9" s="277"/>
      <c r="U9" s="277"/>
      <c r="V9" s="278"/>
      <c r="W9" s="13"/>
      <c r="X9"/>
      <c r="Y9"/>
      <c r="Z9"/>
      <c r="AA9"/>
    </row>
    <row r="10" spans="2:27" s="2" customFormat="1" ht="15.65" customHeight="1" x14ac:dyDescent="0.35">
      <c r="B10" s="15"/>
      <c r="C10" s="3"/>
      <c r="D10" s="3"/>
      <c r="E10" s="3"/>
      <c r="F10" s="3"/>
      <c r="G10" s="3"/>
      <c r="H10" s="3"/>
      <c r="I10" s="3"/>
      <c r="J10" s="3"/>
      <c r="K10" s="3"/>
      <c r="L10" s="3"/>
      <c r="M10" s="162"/>
      <c r="N10" s="162"/>
      <c r="O10" s="162"/>
      <c r="P10" s="162"/>
      <c r="Q10" s="162"/>
      <c r="R10" s="30" t="s">
        <v>115</v>
      </c>
      <c r="S10" s="30" t="s">
        <v>115</v>
      </c>
      <c r="T10" s="30" t="s">
        <v>115</v>
      </c>
      <c r="U10" s="30" t="s">
        <v>115</v>
      </c>
      <c r="V10" s="30" t="s">
        <v>115</v>
      </c>
      <c r="W10" s="16"/>
    </row>
    <row r="11" spans="2:27" s="2" customFormat="1" x14ac:dyDescent="0.35">
      <c r="B11" s="15"/>
      <c r="C11" s="5" t="s">
        <v>129</v>
      </c>
      <c r="D11" s="3"/>
      <c r="E11" s="21"/>
      <c r="F11" s="164"/>
      <c r="G11" s="151" t="s">
        <v>139</v>
      </c>
      <c r="H11" s="151" t="s">
        <v>140</v>
      </c>
      <c r="I11" s="151" t="s">
        <v>113</v>
      </c>
      <c r="J11" s="60"/>
      <c r="K11" s="60"/>
      <c r="L11" s="60"/>
      <c r="M11" s="30" t="s">
        <v>107</v>
      </c>
      <c r="N11" s="30" t="s">
        <v>108</v>
      </c>
      <c r="O11" s="30" t="s">
        <v>109</v>
      </c>
      <c r="P11" s="30" t="s">
        <v>110</v>
      </c>
      <c r="Q11" s="30" t="s">
        <v>111</v>
      </c>
      <c r="R11" s="37" t="s">
        <v>107</v>
      </c>
      <c r="S11" s="37" t="s">
        <v>108</v>
      </c>
      <c r="T11" s="37" t="s">
        <v>109</v>
      </c>
      <c r="U11" s="37" t="s">
        <v>110</v>
      </c>
      <c r="V11" s="37" t="s">
        <v>111</v>
      </c>
      <c r="W11" s="16"/>
    </row>
    <row r="12" spans="2:27" s="2" customFormat="1" x14ac:dyDescent="0.35">
      <c r="B12" s="15"/>
      <c r="C12" s="1"/>
      <c r="D12" s="26" t="s">
        <v>216</v>
      </c>
      <c r="E12" s="26">
        <v>7</v>
      </c>
      <c r="F12" s="161">
        <v>842.9</v>
      </c>
      <c r="G12" s="20" t="s">
        <v>117</v>
      </c>
      <c r="H12" s="1"/>
      <c r="I12" s="20" t="s">
        <v>117</v>
      </c>
      <c r="J12" s="34"/>
      <c r="K12" s="34">
        <f>+'Beregning og partsberegning'!F46</f>
        <v>3.3838084764402337E-2</v>
      </c>
      <c r="L12" s="34">
        <f>+K12*(F12/20)</f>
        <v>1.4261060823957363</v>
      </c>
      <c r="M12" s="30"/>
      <c r="N12" s="30"/>
      <c r="O12" s="30"/>
      <c r="P12" s="30"/>
      <c r="Q12" s="165" t="s">
        <v>43</v>
      </c>
      <c r="R12" s="30"/>
      <c r="S12" s="30"/>
      <c r="T12" s="30"/>
      <c r="U12" s="30"/>
      <c r="V12" s="32" t="s">
        <v>117</v>
      </c>
      <c r="W12" s="16"/>
      <c r="Y12" s="175" t="s">
        <v>43</v>
      </c>
    </row>
    <row r="13" spans="2:27" s="2" customFormat="1" ht="25.5" customHeight="1" x14ac:dyDescent="0.35">
      <c r="B13" s="15"/>
      <c r="D13" s="67"/>
      <c r="E13" s="67"/>
      <c r="F13" s="171"/>
      <c r="G13" s="65"/>
      <c r="I13" s="65"/>
      <c r="J13" s="74"/>
      <c r="K13" s="74"/>
      <c r="L13" s="74"/>
      <c r="M13"/>
      <c r="O13"/>
      <c r="P13"/>
      <c r="Q13"/>
      <c r="R13"/>
      <c r="S13"/>
      <c r="T13"/>
      <c r="U13" s="170"/>
      <c r="W13" s="16"/>
    </row>
    <row r="14" spans="2:27" s="2" customFormat="1" ht="15" thickBot="1" x14ac:dyDescent="0.4">
      <c r="B14" s="15"/>
      <c r="C14" s="63"/>
      <c r="D14" s="67"/>
      <c r="E14" s="67"/>
      <c r="F14" s="64"/>
      <c r="G14" s="65"/>
      <c r="H14" s="65"/>
      <c r="I14" s="65"/>
      <c r="J14" s="74"/>
      <c r="K14" s="120" t="s">
        <v>42</v>
      </c>
      <c r="L14" s="69">
        <f>+SUM(L11:L12)</f>
        <v>1.4261060823957363</v>
      </c>
      <c r="M14"/>
      <c r="N14" s="179" t="s">
        <v>131</v>
      </c>
      <c r="O14" s="178">
        <f>40000*(F12/20)</f>
        <v>1685799.9999999998</v>
      </c>
      <c r="P14" s="2" t="s">
        <v>54</v>
      </c>
      <c r="W14" s="16"/>
    </row>
    <row r="15" spans="2:27" ht="9" customHeight="1" thickTop="1" thickBot="1" x14ac:dyDescent="0.4">
      <c r="B15" s="17"/>
      <c r="C15" s="18"/>
      <c r="D15" s="18"/>
      <c r="E15" s="18"/>
      <c r="F15" s="18"/>
      <c r="G15" s="22"/>
      <c r="H15" s="22"/>
      <c r="I15" s="22"/>
      <c r="J15" s="18"/>
      <c r="K15" s="18"/>
      <c r="L15" s="18"/>
      <c r="M15" s="18"/>
      <c r="N15" s="18"/>
      <c r="O15" s="18"/>
      <c r="P15" s="18"/>
      <c r="Q15" s="18"/>
      <c r="R15" s="18"/>
      <c r="S15" s="18"/>
      <c r="T15" s="18"/>
      <c r="U15" s="18"/>
      <c r="V15" s="18"/>
      <c r="W15" s="19"/>
    </row>
    <row r="16" spans="2:27" ht="9" customHeight="1" x14ac:dyDescent="0.35">
      <c r="G16" s="23"/>
      <c r="H16" s="23"/>
      <c r="I16" s="23"/>
    </row>
    <row r="17" spans="7:18" x14ac:dyDescent="0.35">
      <c r="G17" s="23"/>
      <c r="H17" s="23"/>
      <c r="I17" s="23"/>
      <c r="N17" t="s">
        <v>43</v>
      </c>
    </row>
    <row r="18" spans="7:18" x14ac:dyDescent="0.35">
      <c r="M18" t="s">
        <v>43</v>
      </c>
    </row>
    <row r="19" spans="7:18" x14ac:dyDescent="0.35">
      <c r="R19" t="s">
        <v>43</v>
      </c>
    </row>
  </sheetData>
  <mergeCells count="10">
    <mergeCell ref="G9:H9"/>
    <mergeCell ref="M9:V9"/>
    <mergeCell ref="C3:V3"/>
    <mergeCell ref="C4:F4"/>
    <mergeCell ref="G4:I4"/>
    <mergeCell ref="J4:L4"/>
    <mergeCell ref="G5:I8"/>
    <mergeCell ref="J5:L8"/>
    <mergeCell ref="M5:V8"/>
    <mergeCell ref="C8:F8"/>
  </mergeCells>
  <pageMargins left="0.7" right="0.7" top="0.75" bottom="0.75" header="0.3" footer="0.3"/>
  <pageSetup paperSize="8" scale="33"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85BAF-CE4E-4650-82DB-5B328BA3BFCB}">
  <sheetPr>
    <pageSetUpPr fitToPage="1"/>
  </sheetPr>
  <dimension ref="B1:J17"/>
  <sheetViews>
    <sheetView showGridLines="0" zoomScale="98" zoomScaleNormal="98" workbookViewId="0">
      <selection activeCell="C7" sqref="C7"/>
    </sheetView>
  </sheetViews>
  <sheetFormatPr defaultRowHeight="14.5" x14ac:dyDescent="0.35"/>
  <cols>
    <col min="1" max="1" width="1.26953125" customWidth="1"/>
    <col min="2" max="2" width="1.7265625" customWidth="1"/>
    <col min="3" max="3" width="61.81640625" customWidth="1"/>
    <col min="4" max="4" width="25.7265625" customWidth="1"/>
    <col min="5" max="6" width="15.7265625" customWidth="1"/>
    <col min="7" max="9" width="25.7265625" customWidth="1"/>
    <col min="10" max="10" width="1.7265625" customWidth="1"/>
  </cols>
  <sheetData>
    <row r="1" spans="2:10" ht="7.15" customHeight="1" thickBot="1" x14ac:dyDescent="0.4"/>
    <row r="2" spans="2:10" ht="6" customHeight="1" x14ac:dyDescent="0.35">
      <c r="B2" s="9" t="s">
        <v>43</v>
      </c>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141</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39</v>
      </c>
      <c r="D7" s="7"/>
      <c r="E7" s="25">
        <v>17414003</v>
      </c>
      <c r="F7" s="31"/>
      <c r="G7" s="282"/>
      <c r="H7" s="283"/>
      <c r="I7" s="284"/>
      <c r="J7" s="13"/>
    </row>
    <row r="8" spans="2:10" ht="49.9" customHeight="1" x14ac:dyDescent="0.35">
      <c r="B8" s="12"/>
      <c r="C8" s="311" t="s">
        <v>159</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3"/>
      <c r="D10" s="3"/>
      <c r="E10" s="3"/>
      <c r="F10" s="3"/>
      <c r="G10" s="3"/>
      <c r="H10" s="3"/>
      <c r="I10" s="3"/>
      <c r="J10" s="13"/>
    </row>
    <row r="11" spans="2:10" ht="16.5" customHeight="1" x14ac:dyDescent="0.35">
      <c r="B11" s="12"/>
      <c r="C11" s="5" t="s">
        <v>129</v>
      </c>
      <c r="D11" s="3"/>
      <c r="E11" s="21"/>
      <c r="F11" s="177" t="s">
        <v>43</v>
      </c>
      <c r="G11" s="60">
        <f>+'Beregning og partsberegning'!H$34</f>
        <v>4.9153994220801052E-3</v>
      </c>
      <c r="H11" s="60"/>
      <c r="I11" s="60">
        <f t="shared" ref="I11" si="0">+G11*E11</f>
        <v>0</v>
      </c>
      <c r="J11" s="13"/>
    </row>
    <row r="12" spans="2:10" x14ac:dyDescent="0.35">
      <c r="B12" s="12"/>
      <c r="C12" s="1"/>
      <c r="D12" s="26" t="s">
        <v>216</v>
      </c>
      <c r="E12" s="26">
        <v>38</v>
      </c>
      <c r="F12" s="161">
        <v>2143.4</v>
      </c>
      <c r="G12" s="30"/>
      <c r="H12" s="41">
        <f>+'Beregning og partsberegning'!H45</f>
        <v>1E-3</v>
      </c>
      <c r="I12" s="41">
        <f>+H12*(F12/20)</f>
        <v>0.10717</v>
      </c>
      <c r="J12" s="13"/>
    </row>
    <row r="13" spans="2:10" x14ac:dyDescent="0.35">
      <c r="B13" s="12"/>
      <c r="C13" s="1"/>
      <c r="D13" s="26" t="s">
        <v>151</v>
      </c>
      <c r="E13" s="26">
        <v>1</v>
      </c>
      <c r="F13" s="161">
        <v>3.2</v>
      </c>
      <c r="G13" s="30"/>
      <c r="H13" s="41">
        <f>+H12</f>
        <v>1E-3</v>
      </c>
      <c r="I13" s="41">
        <f>+H13*(F13/20)</f>
        <v>1.6000000000000001E-4</v>
      </c>
      <c r="J13" s="13"/>
    </row>
    <row r="14" spans="2:10" x14ac:dyDescent="0.35">
      <c r="B14" s="12"/>
      <c r="C14" s="2"/>
      <c r="D14" s="67"/>
      <c r="E14" s="67"/>
      <c r="F14" s="72"/>
      <c r="H14" s="75"/>
      <c r="I14" s="75"/>
      <c r="J14" s="13"/>
    </row>
    <row r="15" spans="2:10" ht="15" thickBot="1" x14ac:dyDescent="0.4">
      <c r="B15" s="12"/>
      <c r="H15" s="120" t="s">
        <v>42</v>
      </c>
      <c r="I15" s="68">
        <f>+SUM(I11:I13)</f>
        <v>0.10732999999999999</v>
      </c>
      <c r="J15" s="13"/>
    </row>
    <row r="16" spans="2:10" ht="9" customHeight="1" thickTop="1" thickBot="1" x14ac:dyDescent="0.4">
      <c r="B16" s="17"/>
      <c r="C16" s="18"/>
      <c r="D16" s="18"/>
      <c r="E16" s="18"/>
      <c r="F16" s="18"/>
      <c r="G16" s="18"/>
      <c r="H16" s="18"/>
      <c r="I16" s="18"/>
      <c r="J16" s="19"/>
    </row>
    <row r="17" ht="9" customHeight="1" x14ac:dyDescent="0.35"/>
  </sheetData>
  <mergeCells count="6">
    <mergeCell ref="C3:I3"/>
    <mergeCell ref="C4:F4"/>
    <mergeCell ref="G4:I4"/>
    <mergeCell ref="C5:F5"/>
    <mergeCell ref="G5:I8"/>
    <mergeCell ref="C8:F8"/>
  </mergeCells>
  <pageMargins left="0.7" right="0.7" top="0.75" bottom="0.75" header="0.3" footer="0.3"/>
  <pageSetup paperSize="8" scale="96"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0480A-A826-4569-A6EA-1B919ACE5AEE}">
  <sheetPr>
    <pageSetUpPr fitToPage="1"/>
  </sheetPr>
  <dimension ref="B1:W21"/>
  <sheetViews>
    <sheetView showGridLines="0" zoomScale="70" zoomScaleNormal="70" workbookViewId="0">
      <selection activeCell="C7" sqref="C7"/>
    </sheetView>
  </sheetViews>
  <sheetFormatPr defaultRowHeight="14.5" x14ac:dyDescent="0.35"/>
  <cols>
    <col min="1" max="1" width="1.26953125" customWidth="1"/>
    <col min="2" max="2" width="1" customWidth="1"/>
    <col min="3" max="3" width="45.7265625" customWidth="1"/>
    <col min="4" max="4" width="20" customWidth="1"/>
    <col min="5" max="6" width="15.54296875" customWidth="1"/>
    <col min="7" max="7" width="35.7265625" customWidth="1"/>
    <col min="8" max="8" width="25.7265625" customWidth="1"/>
    <col min="9" max="9" width="45.7265625" customWidth="1"/>
    <col min="10" max="13" width="25.7265625" customWidth="1"/>
    <col min="14" max="14" width="31.453125" customWidth="1"/>
    <col min="15" max="22" width="25.7265625" customWidth="1"/>
    <col min="23" max="23" width="1.453125" customWidth="1"/>
  </cols>
  <sheetData>
    <row r="1" spans="2:23" ht="7.15" customHeight="1" thickBot="1" x14ac:dyDescent="0.4"/>
    <row r="2" spans="2:23" ht="6.65"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41</v>
      </c>
      <c r="D7" s="7"/>
      <c r="E7" s="25">
        <v>25587987</v>
      </c>
      <c r="F7" s="24"/>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218</v>
      </c>
      <c r="H9" s="307"/>
      <c r="I9" s="152" t="s">
        <v>219</v>
      </c>
      <c r="J9" s="153" t="s">
        <v>103</v>
      </c>
      <c r="K9" s="154" t="s">
        <v>104</v>
      </c>
      <c r="L9" s="153" t="s">
        <v>105</v>
      </c>
      <c r="M9" s="276" t="s">
        <v>106</v>
      </c>
      <c r="N9" s="277"/>
      <c r="O9" s="277"/>
      <c r="P9" s="277"/>
      <c r="Q9" s="277"/>
      <c r="R9" s="277"/>
      <c r="S9" s="277"/>
      <c r="T9" s="277"/>
      <c r="U9" s="277"/>
      <c r="V9" s="278"/>
      <c r="W9" s="13"/>
    </row>
    <row r="10" spans="2:23" x14ac:dyDescent="0.35">
      <c r="B10" s="12"/>
      <c r="C10" s="40"/>
      <c r="D10" s="3"/>
      <c r="E10" s="3"/>
      <c r="F10" s="3"/>
      <c r="G10" s="3"/>
      <c r="H10" s="3"/>
      <c r="I10" s="3"/>
      <c r="J10" s="3"/>
      <c r="K10" s="3"/>
      <c r="L10" s="3"/>
      <c r="M10" s="33"/>
      <c r="N10" s="33"/>
      <c r="O10" s="33"/>
      <c r="P10" s="33"/>
      <c r="Q10" s="33"/>
      <c r="R10" s="37" t="s">
        <v>107</v>
      </c>
      <c r="S10" s="37" t="s">
        <v>108</v>
      </c>
      <c r="T10" s="37" t="s">
        <v>109</v>
      </c>
      <c r="U10" s="37" t="s">
        <v>110</v>
      </c>
      <c r="V10" s="37" t="s">
        <v>111</v>
      </c>
      <c r="W10" s="13"/>
    </row>
    <row r="11" spans="2: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114</v>
      </c>
      <c r="R11" s="37" t="s">
        <v>115</v>
      </c>
      <c r="S11" s="37" t="s">
        <v>115</v>
      </c>
      <c r="T11" s="37" t="s">
        <v>115</v>
      </c>
      <c r="U11" s="37" t="s">
        <v>115</v>
      </c>
      <c r="V11" s="37" t="s">
        <v>115</v>
      </c>
      <c r="W11" s="13"/>
    </row>
    <row r="12" spans="2:23" x14ac:dyDescent="0.35">
      <c r="B12" s="12"/>
      <c r="C12" s="1"/>
      <c r="D12" s="26" t="s">
        <v>146</v>
      </c>
      <c r="E12" s="88">
        <v>500</v>
      </c>
      <c r="F12" s="27" t="s">
        <v>43</v>
      </c>
      <c r="G12" s="37" t="s">
        <v>117</v>
      </c>
      <c r="H12" s="37"/>
      <c r="I12" s="37" t="s">
        <v>43</v>
      </c>
      <c r="J12" s="52">
        <f>+'Beregning og partsberegning'!F34</f>
        <v>2.015313763052843E-2</v>
      </c>
      <c r="K12" s="52"/>
      <c r="L12" s="52">
        <f>+J12*E12</f>
        <v>10.076568815264215</v>
      </c>
      <c r="M12" s="30"/>
      <c r="N12" s="32" t="s">
        <v>117</v>
      </c>
      <c r="O12" s="30"/>
      <c r="P12" s="30"/>
      <c r="Q12" s="30"/>
      <c r="R12" s="30"/>
      <c r="S12" s="30"/>
      <c r="T12" s="30"/>
      <c r="U12" s="30"/>
      <c r="V12" s="30"/>
      <c r="W12" s="13"/>
    </row>
    <row r="13" spans="2:23" x14ac:dyDescent="0.35">
      <c r="B13" s="12"/>
      <c r="C13" s="1"/>
      <c r="D13" s="26" t="s">
        <v>122</v>
      </c>
      <c r="E13" s="88">
        <v>90</v>
      </c>
      <c r="F13" s="27" t="s">
        <v>43</v>
      </c>
      <c r="G13" s="37" t="s">
        <v>117</v>
      </c>
      <c r="H13" s="37"/>
      <c r="I13" s="37"/>
      <c r="J13" s="52">
        <f>+'Beregning og partsberegning'!F34</f>
        <v>2.015313763052843E-2</v>
      </c>
      <c r="K13" s="52"/>
      <c r="L13" s="52">
        <f t="shared" ref="L13:L15" si="0">+J13*E13</f>
        <v>1.8137823867475587</v>
      </c>
      <c r="M13" s="30"/>
      <c r="N13" s="32" t="s">
        <v>117</v>
      </c>
      <c r="O13" s="30"/>
      <c r="P13" s="30"/>
      <c r="Q13" s="30"/>
      <c r="R13" s="30"/>
      <c r="S13" s="30"/>
      <c r="T13" s="30"/>
      <c r="U13" s="30"/>
      <c r="V13" s="30"/>
      <c r="W13" s="13"/>
    </row>
    <row r="14" spans="2:23" x14ac:dyDescent="0.35">
      <c r="B14" s="12"/>
      <c r="C14" s="1"/>
      <c r="D14" s="26" t="s">
        <v>149</v>
      </c>
      <c r="E14" s="88">
        <v>22</v>
      </c>
      <c r="F14" s="27" t="s">
        <v>43</v>
      </c>
      <c r="G14" s="37" t="s">
        <v>117</v>
      </c>
      <c r="H14" s="37"/>
      <c r="I14" s="37" t="s">
        <v>117</v>
      </c>
      <c r="J14" s="52">
        <f>+'Beregning og partsberegning'!F35</f>
        <v>5.3741700348075808E-2</v>
      </c>
      <c r="K14" s="52"/>
      <c r="L14" s="52">
        <f>+J14*E14</f>
        <v>1.1823174076576677</v>
      </c>
      <c r="M14" s="30"/>
      <c r="N14" s="30"/>
      <c r="O14" s="30"/>
      <c r="P14" s="30"/>
      <c r="Q14" s="32" t="s">
        <v>117</v>
      </c>
      <c r="R14" s="30"/>
      <c r="S14" s="30"/>
      <c r="T14" s="30"/>
      <c r="U14" s="30"/>
      <c r="V14" s="30"/>
      <c r="W14" s="13"/>
    </row>
    <row r="15" spans="2:23" x14ac:dyDescent="0.35">
      <c r="B15" s="12"/>
      <c r="C15" s="1"/>
      <c r="D15" s="26" t="s">
        <v>220</v>
      </c>
      <c r="E15" s="88">
        <v>933</v>
      </c>
      <c r="F15" s="27" t="s">
        <v>43</v>
      </c>
      <c r="G15" s="30"/>
      <c r="H15" s="37" t="s">
        <v>117</v>
      </c>
      <c r="I15" s="30"/>
      <c r="J15" s="52">
        <f>+'Beregning og partsberegning'!H34</f>
        <v>4.9153994220801052E-3</v>
      </c>
      <c r="K15" s="52"/>
      <c r="L15" s="52">
        <f t="shared" si="0"/>
        <v>4.5860676608007385</v>
      </c>
      <c r="M15" s="30"/>
      <c r="N15" s="32" t="s">
        <v>117</v>
      </c>
      <c r="O15" s="30"/>
      <c r="P15" s="30"/>
      <c r="R15" s="30"/>
      <c r="S15" s="30"/>
      <c r="T15" s="30"/>
      <c r="U15" s="30"/>
      <c r="V15" s="30"/>
      <c r="W15" s="13"/>
    </row>
    <row r="16" spans="2:23" x14ac:dyDescent="0.35">
      <c r="B16" s="12"/>
      <c r="C16" s="1"/>
      <c r="D16" s="26" t="s">
        <v>221</v>
      </c>
      <c r="E16" s="88">
        <v>11</v>
      </c>
      <c r="F16" s="115">
        <v>31772.7</v>
      </c>
      <c r="G16" s="39" t="s">
        <v>43</v>
      </c>
      <c r="H16" s="37" t="s">
        <v>117</v>
      </c>
      <c r="I16" s="30"/>
      <c r="J16" s="52"/>
      <c r="K16" s="52">
        <f>+'Beregning og partsberegning'!H34</f>
        <v>4.9153994220801052E-3</v>
      </c>
      <c r="L16" s="52">
        <f>+K16*(F16/20)</f>
        <v>7.8087755608962279</v>
      </c>
      <c r="M16" s="30"/>
      <c r="N16" s="30"/>
      <c r="O16" s="30"/>
      <c r="Q16" s="30"/>
      <c r="R16" s="30"/>
      <c r="S16" s="32" t="s">
        <v>117</v>
      </c>
      <c r="T16" s="30"/>
      <c r="U16" s="30"/>
      <c r="V16" s="30"/>
      <c r="W16" s="13"/>
    </row>
    <row r="17" spans="2:23" x14ac:dyDescent="0.35">
      <c r="B17" s="12"/>
      <c r="C17" s="5" t="s">
        <v>129</v>
      </c>
      <c r="D17" s="3"/>
      <c r="E17" s="89"/>
      <c r="F17" s="87"/>
      <c r="G17" s="33"/>
      <c r="H17" s="46"/>
      <c r="I17" s="33"/>
      <c r="J17" s="53"/>
      <c r="K17" s="53"/>
      <c r="L17" s="53" t="s">
        <v>43</v>
      </c>
      <c r="M17" s="33"/>
      <c r="N17" s="33"/>
      <c r="O17" s="33"/>
      <c r="P17" s="33"/>
      <c r="Q17" s="33"/>
      <c r="R17" s="33"/>
      <c r="S17" s="33"/>
      <c r="T17" s="33"/>
      <c r="U17" s="33"/>
      <c r="V17" s="33"/>
      <c r="W17" s="13"/>
    </row>
    <row r="18" spans="2:23" x14ac:dyDescent="0.35">
      <c r="B18" s="12"/>
      <c r="C18" s="1"/>
      <c r="D18" s="26" t="s">
        <v>152</v>
      </c>
      <c r="E18" s="88">
        <v>121</v>
      </c>
      <c r="F18" s="115">
        <v>4292.7000000000007</v>
      </c>
      <c r="G18" s="30"/>
      <c r="H18" s="37" t="s">
        <v>117</v>
      </c>
      <c r="I18" s="37" t="s">
        <v>43</v>
      </c>
      <c r="J18" s="52"/>
      <c r="K18" s="52">
        <f>+K16</f>
        <v>4.9153994220801052E-3</v>
      </c>
      <c r="L18" s="52">
        <f>+K18*(F18/20)</f>
        <v>1.0550167549581637</v>
      </c>
      <c r="M18" s="30"/>
      <c r="N18" s="30"/>
      <c r="O18" s="30"/>
      <c r="P18" s="30"/>
      <c r="Q18" s="30"/>
      <c r="R18" s="30"/>
      <c r="S18" s="32" t="s">
        <v>117</v>
      </c>
      <c r="T18" s="30"/>
      <c r="U18" s="30"/>
      <c r="V18" s="30"/>
      <c r="W18" s="13"/>
    </row>
    <row r="19" spans="2:23" x14ac:dyDescent="0.35">
      <c r="B19" s="12"/>
      <c r="J19" s="54"/>
      <c r="K19" s="54"/>
      <c r="L19" s="54"/>
      <c r="W19" s="13"/>
    </row>
    <row r="20" spans="2:23" ht="15" thickBot="1" x14ac:dyDescent="0.4">
      <c r="B20" s="12"/>
      <c r="J20" s="54"/>
      <c r="K20" s="95" t="s">
        <v>42</v>
      </c>
      <c r="L20" s="71">
        <f>+SUM(L12:L18)</f>
        <v>26.522528586324572</v>
      </c>
      <c r="M20" s="94"/>
      <c r="N20" s="179" t="s">
        <v>131</v>
      </c>
      <c r="O20" s="178">
        <f>((E12+E15)*15000)+((E14)*40000)+(15000*E13)+(((SUM(F16))/20)*15000)+(F18/20)*15000</f>
        <v>50774050</v>
      </c>
      <c r="P20" s="2" t="s">
        <v>54</v>
      </c>
      <c r="Q20" s="94"/>
      <c r="R20" s="94"/>
      <c r="S20" s="94"/>
      <c r="T20" s="94"/>
      <c r="U20" s="94"/>
      <c r="W20" s="13"/>
    </row>
    <row r="21" spans="2:23" ht="15.5" thickTop="1" thickBot="1" x14ac:dyDescent="0.4">
      <c r="B21" s="17"/>
      <c r="C21" s="18"/>
      <c r="D21" s="18"/>
      <c r="E21" s="18"/>
      <c r="F21" s="18"/>
      <c r="G21" s="18"/>
      <c r="H21" s="18"/>
      <c r="I21" s="18"/>
      <c r="J21" s="18"/>
      <c r="K21" s="18"/>
      <c r="L21" s="18"/>
      <c r="M21" s="18"/>
      <c r="N21" s="18"/>
      <c r="O21" s="18"/>
      <c r="P21" s="18"/>
      <c r="Q21" s="18"/>
      <c r="R21" s="18"/>
      <c r="S21" s="18"/>
      <c r="T21" s="18"/>
      <c r="U21" s="18"/>
      <c r="V21" s="18"/>
      <c r="W21" s="19"/>
    </row>
  </sheetData>
  <mergeCells count="10">
    <mergeCell ref="M5:V8"/>
    <mergeCell ref="C3:V3"/>
    <mergeCell ref="G9:H9"/>
    <mergeCell ref="C4:F4"/>
    <mergeCell ref="G4:I4"/>
    <mergeCell ref="J4:L4"/>
    <mergeCell ref="C8:F8"/>
    <mergeCell ref="G5:I8"/>
    <mergeCell ref="J5:L8"/>
    <mergeCell ref="M9:V9"/>
  </mergeCells>
  <pageMargins left="0.7" right="0.7" top="0.75" bottom="0.75" header="0.3" footer="0.3"/>
  <pageSetup paperSize="8" scale="35"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0CA05-2A33-4618-BE0C-677E500A4678}">
  <sheetPr>
    <pageSetUpPr fitToPage="1"/>
  </sheetPr>
  <dimension ref="B1:J20"/>
  <sheetViews>
    <sheetView showGridLines="0" zoomScale="106" zoomScaleNormal="106" workbookViewId="0">
      <selection activeCell="C7" sqref="C7"/>
    </sheetView>
  </sheetViews>
  <sheetFormatPr defaultRowHeight="14.5" x14ac:dyDescent="0.35"/>
  <cols>
    <col min="1" max="1" width="1.54296875" customWidth="1"/>
    <col min="2" max="2" width="1.7265625" customWidth="1"/>
    <col min="3" max="3" width="45.7265625" customWidth="1"/>
    <col min="4" max="4" width="35.26953125" customWidth="1"/>
    <col min="5" max="6" width="15.7265625" customWidth="1"/>
    <col min="7" max="9" width="25.7265625" customWidth="1"/>
    <col min="10" max="10" width="1.26953125" customWidth="1"/>
  </cols>
  <sheetData>
    <row r="1" spans="2:10" ht="7.15" customHeight="1" thickBot="1" x14ac:dyDescent="0.4"/>
    <row r="2" spans="2:10" ht="6.65" customHeight="1" x14ac:dyDescent="0.35">
      <c r="B2" s="9"/>
      <c r="C2" s="10"/>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41</v>
      </c>
      <c r="D7" s="7"/>
      <c r="E7" s="25">
        <v>25587987</v>
      </c>
      <c r="F7" s="24"/>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5" t="s">
        <v>202</v>
      </c>
      <c r="D10" s="3"/>
      <c r="E10" s="3"/>
      <c r="F10" s="3"/>
      <c r="G10" s="3"/>
      <c r="H10" s="3"/>
      <c r="I10" s="3"/>
      <c r="J10" s="13"/>
    </row>
    <row r="11" spans="2:10" x14ac:dyDescent="0.35">
      <c r="B11" s="12"/>
      <c r="C11" s="5" t="s">
        <v>112</v>
      </c>
      <c r="D11" s="3"/>
      <c r="E11" s="3"/>
      <c r="F11" s="44"/>
      <c r="G11" s="48"/>
      <c r="H11" s="3"/>
      <c r="I11" s="3"/>
      <c r="J11" s="13"/>
    </row>
    <row r="12" spans="2:10" x14ac:dyDescent="0.35">
      <c r="B12" s="12"/>
      <c r="C12" s="1"/>
      <c r="D12" s="26" t="s">
        <v>146</v>
      </c>
      <c r="E12" s="88">
        <v>250</v>
      </c>
      <c r="F12" s="115" t="s">
        <v>43</v>
      </c>
      <c r="G12" s="52">
        <f>+'Beregning og partsberegning'!H34</f>
        <v>4.9153994220801052E-3</v>
      </c>
      <c r="H12" s="52"/>
      <c r="I12" s="52">
        <f>+G12*E12</f>
        <v>1.2288498555200262</v>
      </c>
      <c r="J12" s="13"/>
    </row>
    <row r="13" spans="2:10" x14ac:dyDescent="0.35">
      <c r="B13" s="12"/>
      <c r="C13" s="1"/>
      <c r="D13" s="26" t="s">
        <v>122</v>
      </c>
      <c r="E13" s="88">
        <v>24</v>
      </c>
      <c r="F13" s="115" t="s">
        <v>43</v>
      </c>
      <c r="G13" s="52">
        <f>+G12</f>
        <v>4.9153994220801052E-3</v>
      </c>
      <c r="H13" s="52"/>
      <c r="I13" s="52">
        <f>+G13*E13</f>
        <v>0.11796958612992253</v>
      </c>
      <c r="J13" s="13"/>
    </row>
    <row r="14" spans="2:10" x14ac:dyDescent="0.35">
      <c r="B14" s="12"/>
      <c r="C14" s="1"/>
      <c r="D14" s="26" t="s">
        <v>149</v>
      </c>
      <c r="E14" s="88">
        <v>6</v>
      </c>
      <c r="F14" s="115" t="s">
        <v>43</v>
      </c>
      <c r="G14" s="52">
        <f>+G13</f>
        <v>4.9153994220801052E-3</v>
      </c>
      <c r="H14" s="52"/>
      <c r="I14" s="52">
        <f>+G14*E14</f>
        <v>2.9492396532480633E-2</v>
      </c>
      <c r="J14" s="13"/>
    </row>
    <row r="15" spans="2:10" x14ac:dyDescent="0.35">
      <c r="B15" s="12"/>
      <c r="C15" s="1"/>
      <c r="D15" s="26" t="s">
        <v>221</v>
      </c>
      <c r="E15" s="88">
        <v>1</v>
      </c>
      <c r="F15" s="115">
        <v>18855.799999999996</v>
      </c>
      <c r="G15" s="52"/>
      <c r="H15" s="52">
        <f>+'Beregning og partsberegning'!H34</f>
        <v>4.9153994220801052E-3</v>
      </c>
      <c r="I15" s="52">
        <f>+H15*(F15/20)</f>
        <v>4.6341894211429011</v>
      </c>
      <c r="J15" s="13"/>
    </row>
    <row r="16" spans="2:10" x14ac:dyDescent="0.35">
      <c r="B16" s="12"/>
      <c r="C16" s="5" t="s">
        <v>129</v>
      </c>
      <c r="D16" s="3"/>
      <c r="E16" s="89"/>
      <c r="F16" s="87"/>
      <c r="G16" s="53"/>
      <c r="H16" s="53"/>
      <c r="I16" s="53"/>
      <c r="J16" s="13"/>
    </row>
    <row r="17" spans="2:10" x14ac:dyDescent="0.35">
      <c r="B17" s="12"/>
      <c r="C17" s="1"/>
      <c r="D17" s="26" t="s">
        <v>152</v>
      </c>
      <c r="E17" s="88">
        <v>81</v>
      </c>
      <c r="F17" s="115">
        <v>1908.3000000000002</v>
      </c>
      <c r="G17" s="52"/>
      <c r="H17" s="52">
        <f>+H15</f>
        <v>4.9153994220801052E-3</v>
      </c>
      <c r="I17" s="52">
        <f>+H17*(F17/10)</f>
        <v>0.9380056717155465</v>
      </c>
      <c r="J17" s="13"/>
    </row>
    <row r="18" spans="2:10" x14ac:dyDescent="0.35">
      <c r="B18" s="12"/>
      <c r="G18" s="54"/>
      <c r="H18" s="54"/>
      <c r="I18" s="54"/>
      <c r="J18" s="13"/>
    </row>
    <row r="19" spans="2:10" ht="15" thickBot="1" x14ac:dyDescent="0.4">
      <c r="B19" s="12"/>
      <c r="D19" s="179" t="s">
        <v>131</v>
      </c>
      <c r="E19" s="178">
        <f>40000*E12+E13*15000+E14*40000+E15*15000+E17*40000</f>
        <v>13855000</v>
      </c>
      <c r="F19" s="2" t="s">
        <v>54</v>
      </c>
      <c r="G19" s="54"/>
      <c r="H19" s="95" t="s">
        <v>42</v>
      </c>
      <c r="I19" s="71">
        <f>+SUM(I12:I17)</f>
        <v>6.9485069310408774</v>
      </c>
      <c r="J19" s="13"/>
    </row>
    <row r="20" spans="2:10" ht="9.65" customHeight="1" thickTop="1" thickBot="1" x14ac:dyDescent="0.4">
      <c r="B20" s="17"/>
      <c r="C20" s="18"/>
      <c r="D20" s="18"/>
      <c r="E20" s="18"/>
      <c r="F20" s="18"/>
      <c r="G20" s="18"/>
      <c r="H20" s="18"/>
      <c r="I20" s="18"/>
      <c r="J20" s="19"/>
    </row>
  </sheetData>
  <mergeCells count="6">
    <mergeCell ref="C3:I3"/>
    <mergeCell ref="C4:F4"/>
    <mergeCell ref="G4:I4"/>
    <mergeCell ref="C8:F8"/>
    <mergeCell ref="C5:F5"/>
    <mergeCell ref="G5:I8"/>
  </mergeCells>
  <pageMargins left="0.7" right="0.7" top="0.75" bottom="0.75" header="0.3" footer="0.3"/>
  <pageSetup paperSize="8" scale="9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58624-152C-47A7-9C73-AE2F321EB5E7}">
  <sheetPr>
    <pageSetUpPr fitToPage="1"/>
  </sheetPr>
  <dimension ref="B1:AA20"/>
  <sheetViews>
    <sheetView showGridLines="0" zoomScale="55" zoomScaleNormal="55" zoomScaleSheetLayoutView="40" workbookViewId="0">
      <selection activeCell="C7" sqref="C7"/>
    </sheetView>
  </sheetViews>
  <sheetFormatPr defaultRowHeight="14.5" x14ac:dyDescent="0.35"/>
  <cols>
    <col min="1" max="1" width="1.81640625" customWidth="1"/>
    <col min="2" max="2" width="1.54296875" customWidth="1"/>
    <col min="3" max="3" width="48.1796875" customWidth="1"/>
    <col min="4" max="4" width="18.453125" customWidth="1"/>
    <col min="5" max="5" width="18.1796875" customWidth="1"/>
    <col min="6" max="6" width="19" customWidth="1"/>
    <col min="7" max="7" width="35.7265625" customWidth="1"/>
    <col min="8" max="8" width="25.7265625" customWidth="1"/>
    <col min="9" max="9" width="63.26953125" customWidth="1"/>
    <col min="10" max="13" width="25.7265625" customWidth="1"/>
    <col min="14" max="14" width="37.81640625" customWidth="1"/>
    <col min="15" max="22" width="25.7265625" customWidth="1"/>
    <col min="23" max="23" width="1.54296875" customWidth="1"/>
    <col min="24" max="24" width="2.54296875" customWidth="1"/>
    <col min="25" max="25" width="13.453125" bestFit="1" customWidth="1"/>
  </cols>
  <sheetData>
    <row r="1" spans="2:27" ht="8.5" customHeight="1" thickBot="1" x14ac:dyDescent="0.4"/>
    <row r="2" spans="2:27" ht="6" customHeight="1" x14ac:dyDescent="0.35">
      <c r="B2" s="9"/>
      <c r="C2" s="10" t="s">
        <v>43</v>
      </c>
      <c r="D2" s="10"/>
      <c r="E2" s="10"/>
      <c r="F2" s="10"/>
      <c r="G2" s="10"/>
      <c r="H2" s="10"/>
      <c r="I2" s="10"/>
      <c r="J2" s="10"/>
      <c r="K2" s="10"/>
      <c r="L2" s="10"/>
      <c r="M2" s="10"/>
      <c r="N2" s="10"/>
      <c r="O2" s="10"/>
      <c r="P2" s="10"/>
      <c r="Q2" s="10"/>
      <c r="R2" s="10"/>
      <c r="S2" s="10"/>
      <c r="T2" s="10"/>
      <c r="U2" s="10"/>
      <c r="V2" s="10"/>
      <c r="W2" s="11"/>
    </row>
    <row r="3" spans="2:27"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7" s="8" customFormat="1" ht="21" x14ac:dyDescent="0.5">
      <c r="B4" s="14"/>
      <c r="C4" s="273" t="s">
        <v>134</v>
      </c>
      <c r="D4" s="274"/>
      <c r="E4" s="274"/>
      <c r="F4" s="275"/>
      <c r="G4" s="308" t="s">
        <v>135</v>
      </c>
      <c r="H4" s="309"/>
      <c r="I4" s="310"/>
      <c r="J4" s="303" t="s">
        <v>92</v>
      </c>
      <c r="K4" s="304"/>
      <c r="L4" s="305"/>
      <c r="M4" s="146" t="s">
        <v>93</v>
      </c>
      <c r="N4" s="147"/>
      <c r="O4" s="147"/>
      <c r="P4" s="147"/>
      <c r="Q4" s="147"/>
      <c r="R4" s="147"/>
      <c r="S4" s="147"/>
      <c r="T4" s="147"/>
      <c r="U4" s="147"/>
      <c r="V4" s="148"/>
      <c r="W4" s="13"/>
      <c r="X4"/>
      <c r="Y4"/>
      <c r="Z4"/>
      <c r="AA4"/>
    </row>
    <row r="5" spans="2:27" x14ac:dyDescent="0.35">
      <c r="B5" s="12"/>
      <c r="C5" s="99"/>
      <c r="G5" s="288" t="s">
        <v>43</v>
      </c>
      <c r="H5" s="289"/>
      <c r="I5" s="290"/>
      <c r="J5" s="279" t="s">
        <v>43</v>
      </c>
      <c r="K5" s="280"/>
      <c r="L5" s="281"/>
      <c r="M5" s="297"/>
      <c r="N5" s="297"/>
      <c r="O5" s="297"/>
      <c r="P5" s="297"/>
      <c r="Q5" s="297"/>
      <c r="R5" s="297"/>
      <c r="S5" s="297"/>
      <c r="T5" s="297"/>
      <c r="U5" s="297"/>
      <c r="V5" s="298"/>
      <c r="W5" s="13"/>
    </row>
    <row r="6" spans="2:27" x14ac:dyDescent="0.35">
      <c r="B6" s="12"/>
      <c r="C6" s="6" t="s">
        <v>94</v>
      </c>
      <c r="D6" s="6" t="s">
        <v>43</v>
      </c>
      <c r="E6" s="6" t="s">
        <v>95</v>
      </c>
      <c r="F6" s="141" t="s">
        <v>43</v>
      </c>
      <c r="G6" s="291"/>
      <c r="H6" s="292"/>
      <c r="I6" s="293"/>
      <c r="J6" s="282"/>
      <c r="K6" s="283"/>
      <c r="L6" s="284"/>
      <c r="M6" s="299"/>
      <c r="N6" s="299"/>
      <c r="O6" s="299"/>
      <c r="P6" s="299"/>
      <c r="Q6" s="299"/>
      <c r="R6" s="299"/>
      <c r="S6" s="299"/>
      <c r="T6" s="299"/>
      <c r="U6" s="299"/>
      <c r="V6" s="300"/>
      <c r="W6" s="13"/>
    </row>
    <row r="7" spans="2:27" ht="35.25" customHeight="1" x14ac:dyDescent="0.35">
      <c r="B7" s="12"/>
      <c r="C7" s="25" t="s">
        <v>41</v>
      </c>
      <c r="D7" s="7"/>
      <c r="E7" s="25">
        <v>25587987</v>
      </c>
      <c r="F7" s="142"/>
      <c r="G7" s="291"/>
      <c r="H7" s="292"/>
      <c r="I7" s="293"/>
      <c r="J7" s="282"/>
      <c r="K7" s="283"/>
      <c r="L7" s="284"/>
      <c r="M7" s="299"/>
      <c r="N7" s="299"/>
      <c r="O7" s="299"/>
      <c r="P7" s="299"/>
      <c r="Q7" s="299"/>
      <c r="R7" s="299"/>
      <c r="S7" s="299"/>
      <c r="T7" s="299"/>
      <c r="U7" s="299"/>
      <c r="V7" s="300"/>
      <c r="W7" s="13"/>
    </row>
    <row r="8" spans="2:27" ht="49.9" customHeight="1" x14ac:dyDescent="0.35">
      <c r="B8" s="12"/>
      <c r="C8" s="311" t="s">
        <v>136</v>
      </c>
      <c r="D8" s="312"/>
      <c r="E8" s="312"/>
      <c r="F8" s="312"/>
      <c r="G8" s="294"/>
      <c r="H8" s="295"/>
      <c r="I8" s="296"/>
      <c r="J8" s="285"/>
      <c r="K8" s="286"/>
      <c r="L8" s="287"/>
      <c r="M8" s="301"/>
      <c r="N8" s="301"/>
      <c r="O8" s="301"/>
      <c r="P8" s="301"/>
      <c r="Q8" s="301"/>
      <c r="R8" s="301"/>
      <c r="S8" s="301"/>
      <c r="T8" s="301"/>
      <c r="U8" s="301"/>
      <c r="V8" s="302"/>
      <c r="W8" s="13"/>
    </row>
    <row r="9" spans="2:27" s="2" customFormat="1" ht="160.15" customHeight="1" x14ac:dyDescent="0.35">
      <c r="B9" s="15"/>
      <c r="C9" s="45" t="s">
        <v>97</v>
      </c>
      <c r="D9" s="45" t="s">
        <v>98</v>
      </c>
      <c r="E9" s="45" t="s">
        <v>99</v>
      </c>
      <c r="F9" s="45" t="s">
        <v>100</v>
      </c>
      <c r="G9" s="306" t="s">
        <v>156</v>
      </c>
      <c r="H9" s="307"/>
      <c r="I9" s="152" t="s">
        <v>222</v>
      </c>
      <c r="J9" s="153" t="s">
        <v>103</v>
      </c>
      <c r="K9" s="154" t="s">
        <v>104</v>
      </c>
      <c r="L9" s="153" t="s">
        <v>105</v>
      </c>
      <c r="M9" s="276" t="s">
        <v>106</v>
      </c>
      <c r="N9" s="277"/>
      <c r="O9" s="277"/>
      <c r="P9" s="277"/>
      <c r="Q9" s="277"/>
      <c r="R9" s="277"/>
      <c r="S9" s="277"/>
      <c r="T9" s="277"/>
      <c r="U9" s="277"/>
      <c r="V9" s="278"/>
      <c r="W9" s="13"/>
      <c r="X9"/>
      <c r="Y9"/>
      <c r="Z9"/>
      <c r="AA9"/>
    </row>
    <row r="10" spans="2:27" s="2" customFormat="1" ht="15.65" customHeight="1" x14ac:dyDescent="0.35">
      <c r="B10" s="15"/>
      <c r="C10" s="3"/>
      <c r="D10" s="3"/>
      <c r="E10" s="3"/>
      <c r="F10" s="3"/>
      <c r="G10" s="3"/>
      <c r="H10" s="3"/>
      <c r="I10" s="3"/>
      <c r="J10" s="3"/>
      <c r="K10" s="3"/>
      <c r="L10" s="3"/>
      <c r="M10" s="162"/>
      <c r="N10" s="162"/>
      <c r="O10" s="162"/>
      <c r="P10" s="162"/>
      <c r="Q10" s="162"/>
      <c r="R10" s="30" t="s">
        <v>115</v>
      </c>
      <c r="S10" s="30" t="s">
        <v>115</v>
      </c>
      <c r="T10" s="30" t="s">
        <v>115</v>
      </c>
      <c r="U10" s="30" t="s">
        <v>115</v>
      </c>
      <c r="V10" s="30" t="s">
        <v>115</v>
      </c>
      <c r="W10" s="16"/>
    </row>
    <row r="11" spans="2:27" s="2" customFormat="1" x14ac:dyDescent="0.35">
      <c r="B11" s="15"/>
      <c r="C11" s="5" t="s">
        <v>112</v>
      </c>
      <c r="D11" s="3"/>
      <c r="E11" s="3"/>
      <c r="F11" s="80"/>
      <c r="G11" s="151" t="s">
        <v>139</v>
      </c>
      <c r="H11" s="151" t="s">
        <v>140</v>
      </c>
      <c r="I11" s="151" t="s">
        <v>113</v>
      </c>
      <c r="J11" s="60"/>
      <c r="K11" s="60"/>
      <c r="L11" s="60"/>
      <c r="M11" s="30" t="s">
        <v>107</v>
      </c>
      <c r="N11" s="30" t="s">
        <v>108</v>
      </c>
      <c r="O11" s="30" t="s">
        <v>109</v>
      </c>
      <c r="P11" s="30" t="s">
        <v>110</v>
      </c>
      <c r="Q11" s="30" t="s">
        <v>111</v>
      </c>
      <c r="R11" s="37" t="s">
        <v>107</v>
      </c>
      <c r="S11" s="37" t="s">
        <v>108</v>
      </c>
      <c r="T11" s="37" t="s">
        <v>109</v>
      </c>
      <c r="U11" s="37" t="s">
        <v>110</v>
      </c>
      <c r="V11" s="37" t="s">
        <v>111</v>
      </c>
      <c r="W11" s="16"/>
    </row>
    <row r="12" spans="2:27" s="2" customFormat="1" x14ac:dyDescent="0.35">
      <c r="B12" s="15"/>
      <c r="C12" s="1"/>
      <c r="D12" s="26" t="s">
        <v>146</v>
      </c>
      <c r="E12" s="26">
        <v>1</v>
      </c>
      <c r="F12" s="173"/>
      <c r="G12" s="20" t="s">
        <v>117</v>
      </c>
      <c r="H12" s="20"/>
      <c r="I12" s="20" t="s">
        <v>117</v>
      </c>
      <c r="J12" s="168">
        <f>'Beregning og partsberegning'!F46</f>
        <v>3.3838084764402337E-2</v>
      </c>
      <c r="K12" s="168"/>
      <c r="L12" s="168">
        <f>+J12*E12</f>
        <v>3.3838084764402337E-2</v>
      </c>
      <c r="M12" s="30"/>
      <c r="N12" s="32" t="s">
        <v>117</v>
      </c>
      <c r="O12" s="30"/>
      <c r="P12" s="30"/>
      <c r="Q12" s="30"/>
      <c r="R12" s="37"/>
      <c r="S12" s="37"/>
      <c r="T12" s="37"/>
      <c r="U12" s="37"/>
      <c r="V12" s="1"/>
      <c r="W12" s="16"/>
      <c r="Y12" s="2" t="s">
        <v>43</v>
      </c>
    </row>
    <row r="13" spans="2:27" s="2" customFormat="1" x14ac:dyDescent="0.35">
      <c r="B13" s="15"/>
      <c r="C13" s="1"/>
      <c r="D13" s="26" t="s">
        <v>220</v>
      </c>
      <c r="E13" s="26">
        <v>3</v>
      </c>
      <c r="F13" s="174"/>
      <c r="G13" s="20" t="s">
        <v>117</v>
      </c>
      <c r="H13" s="20"/>
      <c r="I13" s="20" t="s">
        <v>117</v>
      </c>
      <c r="J13" s="168">
        <f>'Beregning og partsberegning'!F46</f>
        <v>3.3838084764402337E-2</v>
      </c>
      <c r="K13" s="168"/>
      <c r="L13" s="168">
        <f>+J13*E13</f>
        <v>0.10151425429320701</v>
      </c>
      <c r="M13" s="30"/>
      <c r="N13" s="32" t="s">
        <v>117</v>
      </c>
      <c r="O13" s="30"/>
      <c r="P13" s="30"/>
      <c r="Q13" s="1"/>
      <c r="R13" s="37"/>
      <c r="S13" s="37"/>
      <c r="T13" s="37"/>
      <c r="U13" s="37"/>
      <c r="V13" s="1"/>
      <c r="W13" s="16"/>
      <c r="Y13" s="2" t="s">
        <v>43</v>
      </c>
    </row>
    <row r="14" spans="2:27" s="2" customFormat="1" ht="25.5" customHeight="1" x14ac:dyDescent="0.35">
      <c r="B14" s="15"/>
      <c r="D14" s="67"/>
      <c r="E14" s="67"/>
      <c r="F14" s="171"/>
      <c r="G14" s="65"/>
      <c r="H14" s="2" t="s">
        <v>43</v>
      </c>
      <c r="I14" s="65"/>
      <c r="J14" s="74"/>
      <c r="K14" s="74"/>
      <c r="L14" s="74"/>
      <c r="M14"/>
      <c r="O14"/>
      <c r="P14"/>
      <c r="Q14"/>
      <c r="R14"/>
      <c r="S14"/>
      <c r="T14"/>
      <c r="U14" s="170"/>
      <c r="W14" s="16"/>
      <c r="Y14" s="175" t="s">
        <v>43</v>
      </c>
    </row>
    <row r="15" spans="2:27" s="2" customFormat="1" ht="15" thickBot="1" x14ac:dyDescent="0.4">
      <c r="B15" s="15"/>
      <c r="C15" s="63"/>
      <c r="D15" s="67"/>
      <c r="E15" s="67"/>
      <c r="F15" s="64"/>
      <c r="G15" s="65"/>
      <c r="H15" s="65"/>
      <c r="I15" s="65"/>
      <c r="J15" s="74"/>
      <c r="K15" s="120" t="s">
        <v>42</v>
      </c>
      <c r="L15" s="69">
        <f>+SUM(L11:L13)</f>
        <v>0.13535233905760935</v>
      </c>
      <c r="M15"/>
      <c r="N15" s="179" t="s">
        <v>131</v>
      </c>
      <c r="O15" s="178">
        <f>E12*15000+(E13*15000)</f>
        <v>60000</v>
      </c>
      <c r="P15" s="2" t="s">
        <v>54</v>
      </c>
      <c r="W15" s="16"/>
    </row>
    <row r="16" spans="2:27" ht="9" customHeight="1" thickTop="1" thickBot="1" x14ac:dyDescent="0.4">
      <c r="B16" s="17"/>
      <c r="C16" s="18"/>
      <c r="D16" s="18"/>
      <c r="E16" s="18"/>
      <c r="F16" s="18"/>
      <c r="G16" s="22"/>
      <c r="H16" s="22"/>
      <c r="I16" s="22"/>
      <c r="J16" s="18"/>
      <c r="K16" s="18"/>
      <c r="L16" s="18"/>
      <c r="M16" s="18"/>
      <c r="N16" s="18"/>
      <c r="O16" s="18"/>
      <c r="P16" s="18"/>
      <c r="Q16" s="18"/>
      <c r="R16" s="18"/>
      <c r="S16" s="18"/>
      <c r="T16" s="18"/>
      <c r="U16" s="18"/>
      <c r="V16" s="18"/>
      <c r="W16" s="19"/>
    </row>
    <row r="17" spans="7:18" ht="9" customHeight="1" x14ac:dyDescent="0.35">
      <c r="G17" s="23"/>
      <c r="H17" s="23"/>
      <c r="I17" s="23"/>
    </row>
    <row r="18" spans="7:18" x14ac:dyDescent="0.35">
      <c r="G18" s="23"/>
      <c r="H18" s="23"/>
      <c r="I18" s="23"/>
      <c r="N18" t="s">
        <v>43</v>
      </c>
    </row>
    <row r="19" spans="7:18" x14ac:dyDescent="0.35">
      <c r="M19" t="s">
        <v>43</v>
      </c>
    </row>
    <row r="20" spans="7:18" x14ac:dyDescent="0.35">
      <c r="R20" t="s">
        <v>43</v>
      </c>
    </row>
  </sheetData>
  <mergeCells count="10">
    <mergeCell ref="G9:H9"/>
    <mergeCell ref="M9:V9"/>
    <mergeCell ref="C3:V3"/>
    <mergeCell ref="C4:F4"/>
    <mergeCell ref="G4:I4"/>
    <mergeCell ref="J4:L4"/>
    <mergeCell ref="G5:I8"/>
    <mergeCell ref="J5:L8"/>
    <mergeCell ref="M5:V8"/>
    <mergeCell ref="C8:F8"/>
  </mergeCells>
  <pageMargins left="0.7" right="0.7" top="0.75" bottom="0.75" header="0.3" footer="0.3"/>
  <pageSetup paperSize="8" scale="3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96AD5-4E6D-425C-A8EF-F5C0BB9E3CF7}">
  <sheetPr>
    <pageSetUpPr fitToPage="1"/>
  </sheetPr>
  <dimension ref="B1:J29"/>
  <sheetViews>
    <sheetView showGridLines="0" zoomScale="70" zoomScaleNormal="70" workbookViewId="0">
      <selection activeCell="C7" sqref="C7"/>
    </sheetView>
  </sheetViews>
  <sheetFormatPr defaultRowHeight="14.5" x14ac:dyDescent="0.35"/>
  <cols>
    <col min="1" max="1" width="1.26953125" customWidth="1"/>
    <col min="2" max="2" width="1.7265625" customWidth="1"/>
    <col min="3" max="3" width="45.7265625" customWidth="1"/>
    <col min="4" max="4" width="40" customWidth="1"/>
    <col min="5" max="5" width="22.7265625" customWidth="1"/>
    <col min="6" max="6" width="15.7265625" customWidth="1"/>
    <col min="7" max="9" width="25.7265625" customWidth="1"/>
    <col min="10" max="10" width="1.7265625" customWidth="1"/>
  </cols>
  <sheetData>
    <row r="1" spans="2:10" ht="7.15" customHeight="1" thickBot="1" x14ac:dyDescent="0.4"/>
    <row r="2" spans="2:10" ht="6" customHeight="1" x14ac:dyDescent="0.35">
      <c r="B2" s="9" t="s">
        <v>43</v>
      </c>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16</v>
      </c>
      <c r="D7" s="7"/>
      <c r="E7" s="25">
        <v>64831712</v>
      </c>
      <c r="F7" s="31"/>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3"/>
      <c r="D10" s="3"/>
      <c r="E10" s="3"/>
      <c r="F10" s="3"/>
      <c r="G10" s="3"/>
      <c r="H10" s="3"/>
      <c r="I10" s="3"/>
      <c r="J10" s="13"/>
    </row>
    <row r="11" spans="2:10" x14ac:dyDescent="0.35">
      <c r="B11" s="12"/>
      <c r="C11" s="5" t="s">
        <v>112</v>
      </c>
      <c r="D11" s="3"/>
      <c r="E11" s="3"/>
      <c r="F11" s="3"/>
      <c r="G11" s="3"/>
      <c r="H11" s="3"/>
      <c r="I11" s="3"/>
      <c r="J11" s="13"/>
    </row>
    <row r="12" spans="2:10" ht="30" customHeight="1" x14ac:dyDescent="0.35">
      <c r="B12" s="12"/>
      <c r="C12" s="1"/>
      <c r="D12" s="26" t="s">
        <v>116</v>
      </c>
      <c r="E12" s="88">
        <v>148</v>
      </c>
      <c r="F12" s="27" t="s">
        <v>43</v>
      </c>
      <c r="G12" s="34">
        <f>+'Beregning og partsberegning'!H$34</f>
        <v>4.9153994220801052E-3</v>
      </c>
      <c r="H12" s="34"/>
      <c r="I12" s="34">
        <f t="shared" ref="I12:I19" si="0">+G12*E12</f>
        <v>0.72747911446785563</v>
      </c>
      <c r="J12" s="13"/>
    </row>
    <row r="13" spans="2:10" x14ac:dyDescent="0.35">
      <c r="B13" s="12"/>
      <c r="C13" s="1"/>
      <c r="D13" s="26" t="s">
        <v>120</v>
      </c>
      <c r="E13" s="88">
        <v>30</v>
      </c>
      <c r="F13" s="27" t="s">
        <v>43</v>
      </c>
      <c r="G13" s="34">
        <f>+'Beregning og partsberegning'!H$34</f>
        <v>4.9153994220801052E-3</v>
      </c>
      <c r="H13" s="34"/>
      <c r="I13" s="34">
        <f t="shared" si="0"/>
        <v>0.14746198266240315</v>
      </c>
      <c r="J13" s="13"/>
    </row>
    <row r="14" spans="2:10" x14ac:dyDescent="0.35">
      <c r="B14" s="12"/>
      <c r="C14" s="1"/>
      <c r="D14" s="26" t="s">
        <v>122</v>
      </c>
      <c r="E14" s="88">
        <v>18</v>
      </c>
      <c r="F14" s="27" t="s">
        <v>43</v>
      </c>
      <c r="G14" s="34">
        <f>+'Beregning og partsberegning'!H$34</f>
        <v>4.9153994220801052E-3</v>
      </c>
      <c r="H14" s="34"/>
      <c r="I14" s="34">
        <f t="shared" si="0"/>
        <v>8.8477189597441899E-2</v>
      </c>
      <c r="J14" s="13"/>
    </row>
    <row r="15" spans="2:10" ht="30" customHeight="1" x14ac:dyDescent="0.35">
      <c r="B15" s="12"/>
      <c r="C15" s="1"/>
      <c r="D15" s="26" t="s">
        <v>119</v>
      </c>
      <c r="E15" s="88">
        <v>26</v>
      </c>
      <c r="F15" s="27" t="s">
        <v>43</v>
      </c>
      <c r="G15" s="34">
        <f>+'Beregning og partsberegning'!H$34</f>
        <v>4.9153994220801052E-3</v>
      </c>
      <c r="H15" s="34"/>
      <c r="I15" s="34">
        <f t="shared" si="0"/>
        <v>0.12780038497408275</v>
      </c>
      <c r="J15" s="13"/>
    </row>
    <row r="16" spans="2:10" x14ac:dyDescent="0.35">
      <c r="B16" s="12"/>
      <c r="C16" s="1"/>
      <c r="D16" s="26" t="s">
        <v>133</v>
      </c>
      <c r="E16" s="88">
        <v>1</v>
      </c>
      <c r="F16" s="27" t="s">
        <v>43</v>
      </c>
      <c r="G16" s="34">
        <f>+'Beregning og partsberegning'!H$34</f>
        <v>4.9153994220801052E-3</v>
      </c>
      <c r="H16" s="34"/>
      <c r="I16" s="34">
        <f t="shared" si="0"/>
        <v>4.9153994220801052E-3</v>
      </c>
      <c r="J16" s="13"/>
    </row>
    <row r="17" spans="2:10" ht="30" customHeight="1" x14ac:dyDescent="0.35">
      <c r="B17" s="12"/>
      <c r="C17" s="1"/>
      <c r="D17" s="26" t="s">
        <v>121</v>
      </c>
      <c r="E17" s="88">
        <v>3</v>
      </c>
      <c r="F17" s="27" t="s">
        <v>43</v>
      </c>
      <c r="G17" s="34">
        <f>+'Beregning og partsberegning'!H$34</f>
        <v>4.9153994220801052E-3</v>
      </c>
      <c r="H17" s="34"/>
      <c r="I17" s="34">
        <f t="shared" si="0"/>
        <v>1.4746198266240317E-2</v>
      </c>
      <c r="J17" s="13"/>
    </row>
    <row r="18" spans="2:10" x14ac:dyDescent="0.35">
      <c r="B18" s="12"/>
      <c r="C18" s="1"/>
      <c r="D18" s="26" t="s">
        <v>118</v>
      </c>
      <c r="E18" s="88">
        <v>7</v>
      </c>
      <c r="F18" s="27" t="s">
        <v>43</v>
      </c>
      <c r="G18" s="34">
        <f>+'Beregning og partsberegning'!H$34</f>
        <v>4.9153994220801052E-3</v>
      </c>
      <c r="H18" s="34"/>
      <c r="I18" s="34">
        <f t="shared" si="0"/>
        <v>3.4407795954560734E-2</v>
      </c>
      <c r="J18" s="13"/>
    </row>
    <row r="19" spans="2:10" ht="30" customHeight="1" x14ac:dyDescent="0.35">
      <c r="B19" s="12"/>
      <c r="C19" s="1"/>
      <c r="D19" s="26" t="s">
        <v>124</v>
      </c>
      <c r="E19" s="88">
        <v>766</v>
      </c>
      <c r="F19" s="27" t="s">
        <v>43</v>
      </c>
      <c r="G19" s="34">
        <f>+'Beregning og partsberegning'!H$34</f>
        <v>4.9153994220801052E-3</v>
      </c>
      <c r="H19" s="34"/>
      <c r="I19" s="34">
        <f t="shared" si="0"/>
        <v>3.7651959573133604</v>
      </c>
      <c r="J19" s="13"/>
    </row>
    <row r="20" spans="2:10" ht="45" customHeight="1" x14ac:dyDescent="0.35">
      <c r="B20" s="12"/>
      <c r="C20" s="1"/>
      <c r="D20" s="26" t="s">
        <v>125</v>
      </c>
      <c r="E20" s="88">
        <v>265</v>
      </c>
      <c r="F20" s="115">
        <v>8324.7000000000025</v>
      </c>
      <c r="G20" s="36"/>
      <c r="H20" s="34">
        <f>+'Beregning og partsberegning'!H$34</f>
        <v>4.9153994220801052E-3</v>
      </c>
      <c r="I20" s="34">
        <f>+H20*(F20/20)</f>
        <v>2.0459612784495134</v>
      </c>
      <c r="J20" s="13"/>
    </row>
    <row r="21" spans="2:10" x14ac:dyDescent="0.35">
      <c r="B21" s="12"/>
      <c r="C21" s="1"/>
      <c r="D21" s="26" t="s">
        <v>126</v>
      </c>
      <c r="E21" s="88">
        <v>238</v>
      </c>
      <c r="F21" s="115">
        <v>10486.199999999997</v>
      </c>
      <c r="G21" s="36"/>
      <c r="H21" s="34">
        <f>+'Beregning og partsberegning'!H$34</f>
        <v>4.9153994220801052E-3</v>
      </c>
      <c r="I21" s="34">
        <f>+H21*(F21/20)</f>
        <v>2.5771930709908193</v>
      </c>
      <c r="J21" s="13"/>
    </row>
    <row r="22" spans="2:10" ht="45" customHeight="1" x14ac:dyDescent="0.35">
      <c r="B22" s="12"/>
      <c r="C22" s="1"/>
      <c r="D22" s="26" t="s">
        <v>127</v>
      </c>
      <c r="E22" s="88">
        <v>93</v>
      </c>
      <c r="F22" s="86" t="s">
        <v>43</v>
      </c>
      <c r="G22" s="34">
        <f>+'Beregning og partsberegning'!H$34</f>
        <v>4.9153994220801052E-3</v>
      </c>
      <c r="H22" s="34"/>
      <c r="I22" s="34">
        <f>+G22*E22</f>
        <v>0.45713214625344978</v>
      </c>
      <c r="J22" s="13"/>
    </row>
    <row r="23" spans="2:10" x14ac:dyDescent="0.35">
      <c r="B23" s="12"/>
      <c r="C23" s="1"/>
      <c r="D23" s="26" t="s">
        <v>128</v>
      </c>
      <c r="E23" s="88">
        <v>12</v>
      </c>
      <c r="F23" s="86" t="s">
        <v>43</v>
      </c>
      <c r="G23" s="34">
        <f>+'Beregning og partsberegning'!H$34</f>
        <v>4.9153994220801052E-3</v>
      </c>
      <c r="H23" s="34"/>
      <c r="I23" s="34">
        <f>+G23*E23</f>
        <v>5.8984793064961266E-2</v>
      </c>
      <c r="J23" s="13"/>
    </row>
    <row r="24" spans="2:10" x14ac:dyDescent="0.35">
      <c r="B24" s="12"/>
      <c r="C24" s="5" t="s">
        <v>129</v>
      </c>
      <c r="D24" s="3"/>
      <c r="E24" s="89"/>
      <c r="F24" s="87"/>
      <c r="G24" s="60"/>
      <c r="H24" s="60"/>
      <c r="I24" s="60"/>
      <c r="J24" s="13"/>
    </row>
    <row r="25" spans="2:10" x14ac:dyDescent="0.35">
      <c r="B25" s="12"/>
      <c r="C25" s="1"/>
      <c r="D25" s="26" t="s">
        <v>130</v>
      </c>
      <c r="E25" s="88">
        <v>880</v>
      </c>
      <c r="F25" s="115">
        <v>17047.499999999982</v>
      </c>
      <c r="G25" s="36"/>
      <c r="H25" s="34">
        <f>+'Beregning og partsberegning'!H$34</f>
        <v>4.9153994220801052E-3</v>
      </c>
      <c r="I25" s="34">
        <f>+H25*(E25/20)</f>
        <v>0.21627757457152463</v>
      </c>
      <c r="J25" s="13"/>
    </row>
    <row r="26" spans="2:10" x14ac:dyDescent="0.35">
      <c r="B26" s="12"/>
      <c r="H26" s="75"/>
      <c r="I26" s="75"/>
      <c r="J26" s="13"/>
    </row>
    <row r="27" spans="2:10" ht="15" thickBot="1" x14ac:dyDescent="0.4">
      <c r="B27" s="12"/>
      <c r="D27" s="179" t="s">
        <v>131</v>
      </c>
      <c r="E27" s="178">
        <f>+E12*25000+E13*40000+E14*25000+E15*25000+E16*40000+E17*25000+E18*25000+E19*35000+(F20/20)*40000+(F21/20)*35000+E22*40000+E23*35000+(F25/20)*40000</f>
        <v>106335249.99999997</v>
      </c>
      <c r="F27" s="2" t="s">
        <v>54</v>
      </c>
      <c r="H27" s="120" t="s">
        <v>42</v>
      </c>
      <c r="I27" s="68">
        <f>+SUM(I12:I25)</f>
        <v>10.266032885988293</v>
      </c>
      <c r="J27" s="13"/>
    </row>
    <row r="28" spans="2:10" ht="9" customHeight="1" thickTop="1" thickBot="1" x14ac:dyDescent="0.4">
      <c r="B28" s="17"/>
      <c r="C28" s="18"/>
      <c r="D28" s="18"/>
      <c r="E28" s="18"/>
      <c r="F28" s="18"/>
      <c r="G28" s="18"/>
      <c r="H28" s="18"/>
      <c r="I28" s="18"/>
      <c r="J28" s="19"/>
    </row>
    <row r="29" spans="2:10" ht="9" customHeight="1" x14ac:dyDescent="0.35"/>
  </sheetData>
  <mergeCells count="6">
    <mergeCell ref="C4:F4"/>
    <mergeCell ref="G4:I4"/>
    <mergeCell ref="C3:I3"/>
    <mergeCell ref="G5:I8"/>
    <mergeCell ref="C8:F8"/>
    <mergeCell ref="C5:F5"/>
  </mergeCells>
  <pageMargins left="0.7" right="0.7" top="0.75" bottom="0.75" header="0.3" footer="0.3"/>
  <pageSetup paperSize="8" scale="93"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5449D-9FB5-4B64-AA66-815349D5C5EA}">
  <sheetPr>
    <pageSetUpPr fitToPage="1"/>
  </sheetPr>
  <dimension ref="B1:J43"/>
  <sheetViews>
    <sheetView showGridLines="0" zoomScale="68" zoomScaleNormal="68" workbookViewId="0">
      <selection activeCell="C7" sqref="C7"/>
    </sheetView>
  </sheetViews>
  <sheetFormatPr defaultRowHeight="14.5" x14ac:dyDescent="0.35"/>
  <cols>
    <col min="1" max="1" width="1.26953125" customWidth="1"/>
    <col min="2" max="2" width="1.7265625" customWidth="1"/>
    <col min="3" max="3" width="61.81640625" customWidth="1"/>
    <col min="4" max="4" width="25.7265625" customWidth="1"/>
    <col min="5" max="6" width="15.7265625" customWidth="1"/>
    <col min="7" max="9" width="25.7265625" customWidth="1"/>
    <col min="10" max="10" width="1.7265625" customWidth="1"/>
  </cols>
  <sheetData>
    <row r="1" spans="2:10" ht="7.15" customHeight="1" thickBot="1" x14ac:dyDescent="0.4"/>
    <row r="2" spans="2:10" ht="6" customHeight="1" x14ac:dyDescent="0.35">
      <c r="B2" s="9" t="s">
        <v>43</v>
      </c>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141</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41</v>
      </c>
      <c r="D7" s="7"/>
      <c r="E7" s="25">
        <v>25587987</v>
      </c>
      <c r="F7" s="31"/>
      <c r="G7" s="282"/>
      <c r="H7" s="283"/>
      <c r="I7" s="284"/>
      <c r="J7" s="13"/>
    </row>
    <row r="8" spans="2:10" ht="49.9" customHeight="1" x14ac:dyDescent="0.35">
      <c r="B8" s="12"/>
      <c r="C8" s="311" t="s">
        <v>159</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3"/>
      <c r="D10" s="3"/>
      <c r="E10" s="3"/>
      <c r="F10" s="3"/>
      <c r="G10" s="3"/>
      <c r="H10" s="3"/>
      <c r="I10" s="3"/>
      <c r="J10" s="13"/>
    </row>
    <row r="11" spans="2:10" x14ac:dyDescent="0.35">
      <c r="B11" s="12"/>
      <c r="C11" s="5" t="s">
        <v>112</v>
      </c>
      <c r="D11" s="3"/>
      <c r="E11" s="3"/>
      <c r="F11" s="3"/>
      <c r="G11" s="3"/>
      <c r="H11" s="3"/>
      <c r="I11" s="3"/>
      <c r="J11" s="13"/>
    </row>
    <row r="12" spans="2:10" x14ac:dyDescent="0.35">
      <c r="B12" s="12"/>
      <c r="C12" s="1"/>
      <c r="D12" s="26" t="s">
        <v>146</v>
      </c>
      <c r="E12" s="26">
        <v>10</v>
      </c>
      <c r="F12" s="173"/>
      <c r="G12" s="168">
        <f>+'Beregning og partsberegning'!H45</f>
        <v>1E-3</v>
      </c>
      <c r="H12" s="168"/>
      <c r="I12" s="168">
        <f>+G12*E12</f>
        <v>0.01</v>
      </c>
      <c r="J12" s="13"/>
    </row>
    <row r="13" spans="2:10" x14ac:dyDescent="0.35">
      <c r="B13" s="12"/>
      <c r="C13" s="1"/>
      <c r="D13" s="26" t="s">
        <v>149</v>
      </c>
      <c r="E13" s="26">
        <v>1</v>
      </c>
      <c r="F13" s="173"/>
      <c r="G13" s="168">
        <f>+G12</f>
        <v>1E-3</v>
      </c>
      <c r="H13" s="168"/>
      <c r="I13" s="168">
        <f>+G13*E13</f>
        <v>1E-3</v>
      </c>
      <c r="J13" s="13"/>
    </row>
    <row r="14" spans="2:10" ht="30" customHeight="1" x14ac:dyDescent="0.35">
      <c r="B14" s="12"/>
      <c r="C14" s="1"/>
      <c r="D14" s="26" t="s">
        <v>220</v>
      </c>
      <c r="E14" s="26">
        <v>18</v>
      </c>
      <c r="F14" s="27" t="s">
        <v>43</v>
      </c>
      <c r="G14" s="34">
        <f>+G13</f>
        <v>1E-3</v>
      </c>
      <c r="H14" s="34"/>
      <c r="I14" s="34">
        <f>+G14*E14</f>
        <v>1.8000000000000002E-2</v>
      </c>
      <c r="J14" s="13"/>
    </row>
    <row r="15" spans="2:10" x14ac:dyDescent="0.35">
      <c r="B15" s="12"/>
      <c r="C15" s="5" t="s">
        <v>129</v>
      </c>
      <c r="D15" s="3"/>
      <c r="E15" s="21"/>
      <c r="F15" s="87"/>
      <c r="G15" s="60"/>
      <c r="H15" s="60"/>
      <c r="I15" s="60"/>
      <c r="J15" s="13"/>
    </row>
    <row r="16" spans="2:10" x14ac:dyDescent="0.35">
      <c r="B16" s="12"/>
      <c r="C16" s="1"/>
      <c r="D16" s="26" t="s">
        <v>151</v>
      </c>
      <c r="E16" s="26">
        <v>28</v>
      </c>
      <c r="F16" s="161">
        <v>1711.3999999999999</v>
      </c>
      <c r="G16" s="52"/>
      <c r="H16" s="34">
        <f>+'Beregning og partsberegning'!H45</f>
        <v>1E-3</v>
      </c>
      <c r="I16" s="34">
        <f>+H16*(F16/20)</f>
        <v>8.5569999999999993E-2</v>
      </c>
      <c r="J16" s="13"/>
    </row>
    <row r="17" spans="2:10" x14ac:dyDescent="0.35">
      <c r="B17" s="12"/>
      <c r="C17" s="1"/>
      <c r="D17" s="26" t="s">
        <v>223</v>
      </c>
      <c r="E17" s="26">
        <v>3</v>
      </c>
      <c r="F17" s="161">
        <v>777.3</v>
      </c>
      <c r="G17" s="52"/>
      <c r="H17" s="168">
        <f>+'Beregning og partsberegning'!H45</f>
        <v>1E-3</v>
      </c>
      <c r="I17" s="168">
        <f>+H17*(F17/20)</f>
        <v>3.8864999999999997E-2</v>
      </c>
      <c r="J17" s="13"/>
    </row>
    <row r="18" spans="2:10" x14ac:dyDescent="0.35">
      <c r="B18" s="12"/>
      <c r="C18" s="2"/>
      <c r="D18" s="67"/>
      <c r="E18" s="67"/>
      <c r="F18" s="72"/>
      <c r="H18" s="75"/>
      <c r="I18" s="75"/>
      <c r="J18" s="13"/>
    </row>
    <row r="19" spans="2:10" ht="15" thickBot="1" x14ac:dyDescent="0.4">
      <c r="B19" s="12"/>
      <c r="H19" s="120" t="s">
        <v>42</v>
      </c>
      <c r="I19" s="68">
        <f>+SUM(I12:I17)</f>
        <v>0.15343499999999999</v>
      </c>
      <c r="J19" s="13"/>
    </row>
    <row r="20" spans="2:10" ht="9" customHeight="1" thickTop="1" thickBot="1" x14ac:dyDescent="0.4">
      <c r="B20" s="17"/>
      <c r="C20" s="18"/>
      <c r="D20" s="18"/>
      <c r="E20" s="18"/>
      <c r="F20" s="18"/>
      <c r="G20" s="18"/>
      <c r="H20" s="18"/>
      <c r="I20" s="18"/>
      <c r="J20" s="19"/>
    </row>
    <row r="21" spans="2:10" ht="9" customHeight="1" x14ac:dyDescent="0.35"/>
    <row r="40" spans="3:4" x14ac:dyDescent="0.35">
      <c r="D40" t="s">
        <v>224</v>
      </c>
    </row>
    <row r="43" spans="3:4" x14ac:dyDescent="0.35">
      <c r="C43" t="s">
        <v>43</v>
      </c>
    </row>
  </sheetData>
  <mergeCells count="6">
    <mergeCell ref="C3:I3"/>
    <mergeCell ref="C4:F4"/>
    <mergeCell ref="G4:I4"/>
    <mergeCell ref="C5:F5"/>
    <mergeCell ref="G5:I8"/>
    <mergeCell ref="C8:F8"/>
  </mergeCells>
  <pageMargins left="0.7" right="0.7" top="0.75" bottom="0.75" header="0.3" footer="0.3"/>
  <pageSetup paperSize="8" scale="9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DEE1C-9D78-471B-882E-846F3A3C0CAF}">
  <sheetPr>
    <pageSetUpPr fitToPage="1"/>
  </sheetPr>
  <dimension ref="B1:AA18"/>
  <sheetViews>
    <sheetView showGridLines="0" zoomScaleNormal="100" zoomScaleSheetLayoutView="40" workbookViewId="0">
      <selection activeCell="C7" sqref="C7"/>
    </sheetView>
  </sheetViews>
  <sheetFormatPr defaultRowHeight="14.5" x14ac:dyDescent="0.35"/>
  <cols>
    <col min="1" max="1" width="1.81640625" customWidth="1"/>
    <col min="2" max="2" width="1.54296875" customWidth="1"/>
    <col min="3" max="3" width="48.1796875" customWidth="1"/>
    <col min="4" max="4" width="18.453125" customWidth="1"/>
    <col min="5" max="5" width="18.1796875" customWidth="1"/>
    <col min="6" max="6" width="19" customWidth="1"/>
    <col min="7" max="7" width="35.7265625" customWidth="1"/>
    <col min="8" max="8" width="25.7265625" customWidth="1"/>
    <col min="9" max="9" width="63.26953125" customWidth="1"/>
    <col min="10" max="13" width="25.7265625" customWidth="1"/>
    <col min="14" max="14" width="30.81640625" customWidth="1"/>
    <col min="15" max="22" width="25.7265625" customWidth="1"/>
    <col min="23" max="23" width="1.54296875" customWidth="1"/>
    <col min="24" max="24" width="2.54296875" customWidth="1"/>
    <col min="25" max="25" width="16" bestFit="1" customWidth="1"/>
  </cols>
  <sheetData>
    <row r="1" spans="2:27" ht="8.5" customHeight="1" thickBot="1" x14ac:dyDescent="0.4"/>
    <row r="2" spans="2:27" ht="6" customHeight="1" x14ac:dyDescent="0.35">
      <c r="B2" s="9"/>
      <c r="C2" s="10" t="s">
        <v>43</v>
      </c>
      <c r="D2" s="10"/>
      <c r="E2" s="10"/>
      <c r="F2" s="10"/>
      <c r="G2" s="10"/>
      <c r="H2" s="10"/>
      <c r="I2" s="10"/>
      <c r="J2" s="10"/>
      <c r="K2" s="10"/>
      <c r="L2" s="10"/>
      <c r="M2" s="10"/>
      <c r="N2" s="10"/>
      <c r="O2" s="10"/>
      <c r="P2" s="10"/>
      <c r="Q2" s="10"/>
      <c r="R2" s="10"/>
      <c r="S2" s="10"/>
      <c r="T2" s="10"/>
      <c r="U2" s="10"/>
      <c r="V2" s="10"/>
      <c r="W2" s="11"/>
    </row>
    <row r="3" spans="2:27"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7" s="8" customFormat="1" ht="21" x14ac:dyDescent="0.5">
      <c r="B4" s="14"/>
      <c r="C4" s="273" t="s">
        <v>134</v>
      </c>
      <c r="D4" s="274"/>
      <c r="E4" s="274"/>
      <c r="F4" s="275"/>
      <c r="G4" s="308" t="s">
        <v>135</v>
      </c>
      <c r="H4" s="309"/>
      <c r="I4" s="310"/>
      <c r="J4" s="303" t="s">
        <v>92</v>
      </c>
      <c r="K4" s="304"/>
      <c r="L4" s="305"/>
      <c r="M4" s="146" t="s">
        <v>93</v>
      </c>
      <c r="N4" s="147"/>
      <c r="O4" s="147"/>
      <c r="P4" s="147"/>
      <c r="Q4" s="147"/>
      <c r="R4" s="147"/>
      <c r="S4" s="147"/>
      <c r="T4" s="147"/>
      <c r="U4" s="147"/>
      <c r="V4" s="148"/>
      <c r="W4" s="13"/>
      <c r="X4"/>
      <c r="Y4"/>
      <c r="Z4"/>
      <c r="AA4"/>
    </row>
    <row r="5" spans="2:27" x14ac:dyDescent="0.35">
      <c r="B5" s="12"/>
      <c r="C5" s="99"/>
      <c r="G5" s="288" t="s">
        <v>43</v>
      </c>
      <c r="H5" s="289"/>
      <c r="I5" s="290"/>
      <c r="J5" s="279" t="s">
        <v>43</v>
      </c>
      <c r="K5" s="280"/>
      <c r="L5" s="281"/>
      <c r="M5" s="297"/>
      <c r="N5" s="297"/>
      <c r="O5" s="297"/>
      <c r="P5" s="297"/>
      <c r="Q5" s="297"/>
      <c r="R5" s="297"/>
      <c r="S5" s="297"/>
      <c r="T5" s="297"/>
      <c r="U5" s="297"/>
      <c r="V5" s="298"/>
      <c r="W5" s="13"/>
    </row>
    <row r="6" spans="2:27" x14ac:dyDescent="0.35">
      <c r="B6" s="12"/>
      <c r="C6" s="6" t="s">
        <v>94</v>
      </c>
      <c r="D6" s="6" t="s">
        <v>43</v>
      </c>
      <c r="E6" s="6" t="s">
        <v>95</v>
      </c>
      <c r="F6" s="141" t="s">
        <v>43</v>
      </c>
      <c r="G6" s="291"/>
      <c r="H6" s="292"/>
      <c r="I6" s="293"/>
      <c r="J6" s="282"/>
      <c r="K6" s="283"/>
      <c r="L6" s="284"/>
      <c r="M6" s="299"/>
      <c r="N6" s="299"/>
      <c r="O6" s="299"/>
      <c r="P6" s="299"/>
      <c r="Q6" s="299"/>
      <c r="R6" s="299"/>
      <c r="S6" s="299"/>
      <c r="T6" s="299"/>
      <c r="U6" s="299"/>
      <c r="V6" s="300"/>
      <c r="W6" s="13"/>
    </row>
    <row r="7" spans="2:27" ht="35.25" customHeight="1" x14ac:dyDescent="0.35">
      <c r="B7" s="12"/>
      <c r="C7" s="25" t="s">
        <v>16</v>
      </c>
      <c r="D7" s="7"/>
      <c r="E7" s="25">
        <v>64831712</v>
      </c>
      <c r="F7" s="142"/>
      <c r="G7" s="291"/>
      <c r="H7" s="292"/>
      <c r="I7" s="293"/>
      <c r="J7" s="282"/>
      <c r="K7" s="283"/>
      <c r="L7" s="284"/>
      <c r="M7" s="299"/>
      <c r="N7" s="299"/>
      <c r="O7" s="299"/>
      <c r="P7" s="299"/>
      <c r="Q7" s="299"/>
      <c r="R7" s="299"/>
      <c r="S7" s="299"/>
      <c r="T7" s="299"/>
      <c r="U7" s="299"/>
      <c r="V7" s="300"/>
      <c r="W7" s="13"/>
    </row>
    <row r="8" spans="2:27" ht="49.9" customHeight="1" x14ac:dyDescent="0.35">
      <c r="B8" s="12"/>
      <c r="C8" s="311" t="s">
        <v>136</v>
      </c>
      <c r="D8" s="312"/>
      <c r="E8" s="312"/>
      <c r="F8" s="312"/>
      <c r="G8" s="294"/>
      <c r="H8" s="295"/>
      <c r="I8" s="296"/>
      <c r="J8" s="285"/>
      <c r="K8" s="286"/>
      <c r="L8" s="287"/>
      <c r="M8" s="301"/>
      <c r="N8" s="301"/>
      <c r="O8" s="301"/>
      <c r="P8" s="301"/>
      <c r="Q8" s="301"/>
      <c r="R8" s="301"/>
      <c r="S8" s="301"/>
      <c r="T8" s="301"/>
      <c r="U8" s="301"/>
      <c r="V8" s="302"/>
      <c r="W8" s="13"/>
    </row>
    <row r="9" spans="2:27" s="2" customFormat="1" ht="160.15" customHeight="1" x14ac:dyDescent="0.35">
      <c r="B9" s="15"/>
      <c r="C9" s="45" t="s">
        <v>97</v>
      </c>
      <c r="D9" s="45" t="s">
        <v>98</v>
      </c>
      <c r="E9" s="45" t="s">
        <v>99</v>
      </c>
      <c r="F9" s="45" t="s">
        <v>100</v>
      </c>
      <c r="G9" s="306" t="s">
        <v>137</v>
      </c>
      <c r="H9" s="307"/>
      <c r="I9" s="152" t="s">
        <v>138</v>
      </c>
      <c r="J9" s="153" t="s">
        <v>103</v>
      </c>
      <c r="K9" s="154" t="s">
        <v>104</v>
      </c>
      <c r="L9" s="153" t="s">
        <v>105</v>
      </c>
      <c r="M9" s="276" t="s">
        <v>106</v>
      </c>
      <c r="N9" s="277"/>
      <c r="O9" s="277"/>
      <c r="P9" s="277"/>
      <c r="Q9" s="277"/>
      <c r="R9" s="277"/>
      <c r="S9" s="277"/>
      <c r="T9" s="277"/>
      <c r="U9" s="277"/>
      <c r="V9" s="278"/>
      <c r="W9" s="13"/>
      <c r="X9"/>
      <c r="Y9"/>
      <c r="Z9"/>
      <c r="AA9"/>
    </row>
    <row r="10" spans="2:27" s="2" customFormat="1" ht="15.65" customHeight="1" x14ac:dyDescent="0.35">
      <c r="B10" s="15"/>
      <c r="C10" s="3"/>
      <c r="D10" s="3"/>
      <c r="E10" s="3"/>
      <c r="F10" s="3"/>
      <c r="G10" s="3"/>
      <c r="H10" s="3"/>
      <c r="I10" s="3"/>
      <c r="J10" s="3"/>
      <c r="K10" s="3"/>
      <c r="L10" s="3"/>
      <c r="M10" s="162"/>
      <c r="N10" s="162"/>
      <c r="O10" s="162"/>
      <c r="P10" s="162"/>
      <c r="Q10" s="162"/>
      <c r="R10" s="30" t="s">
        <v>115</v>
      </c>
      <c r="S10" s="30" t="s">
        <v>115</v>
      </c>
      <c r="T10" s="30" t="s">
        <v>115</v>
      </c>
      <c r="U10" s="30" t="s">
        <v>115</v>
      </c>
      <c r="V10" s="30" t="s">
        <v>115</v>
      </c>
      <c r="W10" s="16"/>
    </row>
    <row r="11" spans="2:27" s="2" customFormat="1" x14ac:dyDescent="0.35">
      <c r="B11" s="15"/>
      <c r="C11" s="5" t="s">
        <v>129</v>
      </c>
      <c r="D11" s="82"/>
      <c r="E11" s="21"/>
      <c r="F11" s="80"/>
      <c r="G11" s="151" t="s">
        <v>139</v>
      </c>
      <c r="H11" s="151" t="s">
        <v>140</v>
      </c>
      <c r="I11" s="151" t="s">
        <v>113</v>
      </c>
      <c r="J11" s="60"/>
      <c r="K11" s="60"/>
      <c r="L11" s="60"/>
      <c r="M11" s="30" t="s">
        <v>107</v>
      </c>
      <c r="N11" s="30" t="s">
        <v>108</v>
      </c>
      <c r="O11" s="30" t="s">
        <v>109</v>
      </c>
      <c r="P11" s="30" t="s">
        <v>110</v>
      </c>
      <c r="Q11" s="30" t="s">
        <v>111</v>
      </c>
      <c r="R11" s="37" t="s">
        <v>107</v>
      </c>
      <c r="S11" s="37" t="s">
        <v>108</v>
      </c>
      <c r="T11" s="37" t="s">
        <v>109</v>
      </c>
      <c r="U11" s="37" t="s">
        <v>110</v>
      </c>
      <c r="V11" s="37" t="s">
        <v>111</v>
      </c>
      <c r="W11" s="16"/>
    </row>
    <row r="12" spans="2:27" s="2" customFormat="1" x14ac:dyDescent="0.35">
      <c r="B12" s="15"/>
      <c r="C12" s="1"/>
      <c r="D12" s="25" t="s">
        <v>130</v>
      </c>
      <c r="E12" s="26">
        <v>13</v>
      </c>
      <c r="F12" s="161">
        <v>1186.5000000000002</v>
      </c>
      <c r="G12" s="20" t="s">
        <v>117</v>
      </c>
      <c r="H12" s="1"/>
      <c r="I12" s="20" t="s">
        <v>117</v>
      </c>
      <c r="J12" s="34"/>
      <c r="K12" s="34">
        <f>+'Beregning og partsberegning'!F46</f>
        <v>3.3838084764402337E-2</v>
      </c>
      <c r="L12" s="34">
        <f>+K12*(F12/20)</f>
        <v>2.0074443786481688</v>
      </c>
      <c r="M12" s="30"/>
      <c r="N12" s="30"/>
      <c r="O12" s="30"/>
      <c r="P12" s="30"/>
      <c r="Q12" s="30"/>
      <c r="R12" s="30"/>
      <c r="S12" s="30"/>
      <c r="T12" s="30"/>
      <c r="U12" s="30"/>
      <c r="V12" s="32" t="s">
        <v>117</v>
      </c>
      <c r="W12" s="16"/>
      <c r="Y12" s="175" t="s">
        <v>43</v>
      </c>
    </row>
    <row r="13" spans="2:27" s="2" customFormat="1" x14ac:dyDescent="0.35">
      <c r="B13" s="15"/>
      <c r="C13" s="66"/>
      <c r="D13" s="63"/>
      <c r="E13" s="64"/>
      <c r="F13" s="64"/>
      <c r="G13" s="64"/>
      <c r="H13" s="64"/>
      <c r="I13" s="64"/>
      <c r="J13" s="75"/>
      <c r="K13" s="75"/>
      <c r="L13" s="75"/>
      <c r="M13" s="72"/>
      <c r="N13" s="72"/>
      <c r="O13" s="72"/>
      <c r="P13" s="72"/>
      <c r="Q13" s="72"/>
      <c r="R13" s="72"/>
      <c r="S13" s="72"/>
      <c r="T13" s="72"/>
      <c r="U13" s="63"/>
      <c r="V13" s="63"/>
      <c r="W13" s="16"/>
      <c r="Y13" s="175" t="s">
        <v>43</v>
      </c>
    </row>
    <row r="14" spans="2:27" s="2" customFormat="1" ht="15" thickBot="1" x14ac:dyDescent="0.4">
      <c r="B14" s="15"/>
      <c r="C14" s="63"/>
      <c r="D14" s="67"/>
      <c r="E14" s="67"/>
      <c r="F14" s="64"/>
      <c r="G14" s="65"/>
      <c r="H14" s="65"/>
      <c r="I14" s="65"/>
      <c r="J14" s="74"/>
      <c r="K14" s="120" t="s">
        <v>42</v>
      </c>
      <c r="L14" s="69">
        <f>+SUM(L11:L12)</f>
        <v>2.0074443786481688</v>
      </c>
      <c r="M14"/>
      <c r="N14" s="179" t="s">
        <v>131</v>
      </c>
      <c r="O14" s="178">
        <f>40000*(F12/20)</f>
        <v>2373000.0000000005</v>
      </c>
      <c r="P14" s="2" t="s">
        <v>54</v>
      </c>
      <c r="W14" s="16"/>
      <c r="Y14" s="2" t="s">
        <v>43</v>
      </c>
    </row>
    <row r="15" spans="2:27" ht="9" customHeight="1" thickTop="1" thickBot="1" x14ac:dyDescent="0.4">
      <c r="B15" s="17"/>
      <c r="C15" s="18"/>
      <c r="D15" s="18"/>
      <c r="E15" s="18"/>
      <c r="F15" s="18"/>
      <c r="G15" s="22"/>
      <c r="H15" s="22"/>
      <c r="I15" s="22"/>
      <c r="J15" s="18"/>
      <c r="K15" s="18"/>
      <c r="L15" s="18"/>
      <c r="M15" s="18"/>
      <c r="N15" s="18"/>
      <c r="O15" s="18"/>
      <c r="P15" s="18"/>
      <c r="Q15" s="18"/>
      <c r="R15" s="18"/>
      <c r="S15" s="18"/>
      <c r="T15" s="18"/>
      <c r="U15" s="18"/>
      <c r="V15" s="18"/>
      <c r="W15" s="19"/>
    </row>
    <row r="16" spans="2:27" ht="9" customHeight="1" x14ac:dyDescent="0.35">
      <c r="G16" s="23"/>
      <c r="H16" s="23"/>
      <c r="I16" s="23"/>
    </row>
    <row r="17" spans="7:14" x14ac:dyDescent="0.35">
      <c r="G17" s="23"/>
      <c r="H17" s="23"/>
      <c r="I17" s="23"/>
      <c r="N17" t="s">
        <v>43</v>
      </c>
    </row>
    <row r="18" spans="7:14" x14ac:dyDescent="0.35">
      <c r="M18" t="s">
        <v>43</v>
      </c>
    </row>
  </sheetData>
  <mergeCells count="10">
    <mergeCell ref="G9:H9"/>
    <mergeCell ref="M9:V9"/>
    <mergeCell ref="C3:V3"/>
    <mergeCell ref="C4:F4"/>
    <mergeCell ref="G4:I4"/>
    <mergeCell ref="J4:L4"/>
    <mergeCell ref="G5:I8"/>
    <mergeCell ref="J5:L8"/>
    <mergeCell ref="M5:V8"/>
    <mergeCell ref="C8:F8"/>
  </mergeCells>
  <pageMargins left="0.7" right="0.7" top="0.75" bottom="0.75" header="0.3" footer="0.3"/>
  <pageSetup paperSize="8" scale="3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3FCB4-2E71-4CE7-8564-A96030F124EA}">
  <sheetPr>
    <pageSetUpPr fitToPage="1"/>
  </sheetPr>
  <dimension ref="B1:J18"/>
  <sheetViews>
    <sheetView showGridLines="0" zoomScale="98" zoomScaleNormal="98" workbookViewId="0">
      <selection activeCell="C7" sqref="C7"/>
    </sheetView>
  </sheetViews>
  <sheetFormatPr defaultRowHeight="14.5" x14ac:dyDescent="0.35"/>
  <cols>
    <col min="1" max="1" width="1.26953125" customWidth="1"/>
    <col min="2" max="2" width="1.7265625" customWidth="1"/>
    <col min="3" max="3" width="61.81640625" customWidth="1"/>
    <col min="4" max="4" width="25.7265625" customWidth="1"/>
    <col min="5" max="6" width="15.7265625" customWidth="1"/>
    <col min="7" max="9" width="25.7265625" customWidth="1"/>
    <col min="10" max="10" width="1.7265625" customWidth="1"/>
  </cols>
  <sheetData>
    <row r="1" spans="2:10" ht="7.15" customHeight="1" thickBot="1" x14ac:dyDescent="0.4"/>
    <row r="2" spans="2:10" ht="6" customHeight="1" x14ac:dyDescent="0.35">
      <c r="B2" s="9" t="s">
        <v>43</v>
      </c>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141</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16</v>
      </c>
      <c r="D7" s="7"/>
      <c r="E7" s="25">
        <v>64831712</v>
      </c>
      <c r="F7" s="31"/>
      <c r="G7" s="282"/>
      <c r="H7" s="283"/>
      <c r="I7" s="284"/>
      <c r="J7" s="13"/>
    </row>
    <row r="8" spans="2:10" ht="49.9" customHeight="1" x14ac:dyDescent="0.35">
      <c r="B8" s="12"/>
      <c r="C8" s="311" t="s">
        <v>142</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3"/>
      <c r="D10" s="3"/>
      <c r="E10" s="3"/>
      <c r="F10" s="3"/>
      <c r="G10" s="3"/>
      <c r="H10" s="3"/>
      <c r="I10" s="3"/>
      <c r="J10" s="13"/>
    </row>
    <row r="11" spans="2:10" x14ac:dyDescent="0.35">
      <c r="B11" s="12"/>
      <c r="C11" s="5" t="s">
        <v>112</v>
      </c>
      <c r="D11" s="3"/>
      <c r="E11" s="3"/>
      <c r="F11" s="3"/>
      <c r="G11" s="3"/>
      <c r="H11" s="3"/>
      <c r="I11" s="3"/>
      <c r="J11" s="13"/>
    </row>
    <row r="12" spans="2:10" ht="30" customHeight="1" x14ac:dyDescent="0.35">
      <c r="B12" s="12"/>
      <c r="C12" s="1"/>
      <c r="D12" s="26" t="s">
        <v>126</v>
      </c>
      <c r="E12" s="26">
        <v>12</v>
      </c>
      <c r="F12" s="27" t="s">
        <v>43</v>
      </c>
      <c r="G12" s="34" cm="1">
        <f t="array" ref="G12:G13">+'Beregning og partsberegning'!H45:H46</f>
        <v>1E-3</v>
      </c>
      <c r="H12" s="34"/>
      <c r="I12" s="34">
        <f t="shared" ref="I12" si="0">+G12*E12</f>
        <v>1.2E-2</v>
      </c>
      <c r="J12" s="13"/>
    </row>
    <row r="13" spans="2:10" x14ac:dyDescent="0.35">
      <c r="B13" s="12"/>
      <c r="C13" s="5" t="s">
        <v>129</v>
      </c>
      <c r="D13" s="3"/>
      <c r="E13" s="21"/>
      <c r="F13" s="87"/>
      <c r="G13" s="60">
        <v>0</v>
      </c>
      <c r="H13" s="60"/>
      <c r="I13" s="60"/>
      <c r="J13" s="13"/>
    </row>
    <row r="14" spans="2:10" x14ac:dyDescent="0.35">
      <c r="B14" s="12"/>
      <c r="C14" s="1"/>
      <c r="D14" s="26" t="s">
        <v>130</v>
      </c>
      <c r="E14" s="26">
        <v>28</v>
      </c>
      <c r="F14" s="161">
        <v>1755.2</v>
      </c>
      <c r="G14" s="30"/>
      <c r="H14" s="168">
        <f>+G12</f>
        <v>1E-3</v>
      </c>
      <c r="I14" s="168">
        <f>+H14*(F14/20)</f>
        <v>8.7760000000000005E-2</v>
      </c>
      <c r="J14" s="13"/>
    </row>
    <row r="15" spans="2:10" x14ac:dyDescent="0.35">
      <c r="B15" s="12"/>
      <c r="C15" s="2"/>
      <c r="D15" s="67"/>
      <c r="E15" s="67"/>
      <c r="H15" s="75"/>
      <c r="I15" s="75"/>
      <c r="J15" s="13"/>
    </row>
    <row r="16" spans="2:10" ht="15" thickBot="1" x14ac:dyDescent="0.4">
      <c r="B16" s="12"/>
      <c r="H16" s="120" t="s">
        <v>42</v>
      </c>
      <c r="I16" s="68">
        <f>+SUM(I12:I14)</f>
        <v>9.9760000000000001E-2</v>
      </c>
      <c r="J16" s="13"/>
    </row>
    <row r="17" spans="2:10" ht="9" customHeight="1" thickTop="1" thickBot="1" x14ac:dyDescent="0.4">
      <c r="B17" s="17"/>
      <c r="C17" s="18"/>
      <c r="D17" s="18"/>
      <c r="E17" s="18"/>
      <c r="F17" s="18"/>
      <c r="G17" s="18"/>
      <c r="H17" s="18"/>
      <c r="I17" s="18"/>
      <c r="J17" s="19"/>
    </row>
    <row r="18" spans="2:10" ht="9" customHeight="1" x14ac:dyDescent="0.35"/>
  </sheetData>
  <mergeCells count="6">
    <mergeCell ref="C3:I3"/>
    <mergeCell ref="C4:F4"/>
    <mergeCell ref="G4:I4"/>
    <mergeCell ref="C5:F5"/>
    <mergeCell ref="G5:I8"/>
    <mergeCell ref="C8:F8"/>
  </mergeCells>
  <pageMargins left="0.7" right="0.7" top="0.75" bottom="0.75" header="0.3" footer="0.3"/>
  <pageSetup paperSize="8" scale="9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879E4-5F97-44CA-9EB3-22549349174E}">
  <sheetPr>
    <pageSetUpPr fitToPage="1"/>
  </sheetPr>
  <dimension ref="A1:W32"/>
  <sheetViews>
    <sheetView showGridLines="0" zoomScaleNormal="100" workbookViewId="0">
      <selection activeCell="C7" sqref="C7"/>
    </sheetView>
  </sheetViews>
  <sheetFormatPr defaultRowHeight="14.5" x14ac:dyDescent="0.35"/>
  <cols>
    <col min="1" max="1" width="1.453125" customWidth="1"/>
    <col min="2" max="2" width="1.54296875" customWidth="1"/>
    <col min="3" max="3" width="55.453125" customWidth="1"/>
    <col min="4" max="4" width="27.54296875" customWidth="1"/>
    <col min="5" max="6" width="26.7265625" customWidth="1"/>
    <col min="7" max="7" width="35.7265625" customWidth="1"/>
    <col min="8" max="8" width="25.7265625" customWidth="1"/>
    <col min="9" max="9" width="49.453125" customWidth="1"/>
    <col min="10" max="13" width="25.7265625" customWidth="1"/>
    <col min="14" max="14" width="37" customWidth="1"/>
    <col min="15" max="22" width="25.7265625" customWidth="1"/>
    <col min="23" max="23" width="1.453125" customWidth="1"/>
  </cols>
  <sheetData>
    <row r="1" spans="1:23" ht="15" thickBot="1" x14ac:dyDescent="0.4"/>
    <row r="2" spans="1:23" ht="7.9" customHeight="1" x14ac:dyDescent="0.35">
      <c r="B2" s="9"/>
      <c r="C2" s="10" t="s">
        <v>43</v>
      </c>
      <c r="D2" s="10"/>
      <c r="E2" s="10"/>
      <c r="F2" s="10"/>
      <c r="G2" s="10"/>
      <c r="H2" s="10"/>
      <c r="I2" s="10"/>
      <c r="J2" s="10"/>
      <c r="K2" s="10"/>
      <c r="L2" s="10"/>
      <c r="M2" s="10"/>
      <c r="N2" s="10"/>
      <c r="O2" s="10"/>
      <c r="P2" s="10"/>
      <c r="Q2" s="10"/>
      <c r="R2" s="10"/>
      <c r="S2" s="10"/>
      <c r="T2" s="10"/>
      <c r="U2" s="10"/>
      <c r="V2" s="10"/>
      <c r="W2" s="11"/>
    </row>
    <row r="3" spans="1: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1:23" ht="21" x14ac:dyDescent="0.5">
      <c r="B4" s="12"/>
      <c r="C4" s="315" t="s">
        <v>90</v>
      </c>
      <c r="D4" s="316"/>
      <c r="E4" s="316"/>
      <c r="F4" s="316"/>
      <c r="G4" s="308" t="s">
        <v>91</v>
      </c>
      <c r="H4" s="309"/>
      <c r="I4" s="310"/>
      <c r="J4" s="303" t="s">
        <v>92</v>
      </c>
      <c r="K4" s="304"/>
      <c r="L4" s="305"/>
      <c r="M4" s="146" t="s">
        <v>93</v>
      </c>
      <c r="N4" s="147"/>
      <c r="O4" s="147"/>
      <c r="P4" s="147"/>
      <c r="Q4" s="147"/>
      <c r="R4" s="147"/>
      <c r="S4" s="147"/>
      <c r="T4" s="147"/>
      <c r="U4" s="147"/>
      <c r="V4" s="148"/>
      <c r="W4" s="13"/>
    </row>
    <row r="5" spans="1:23" x14ac:dyDescent="0.35">
      <c r="B5" s="12"/>
      <c r="C5" s="99"/>
      <c r="G5" s="288" t="s">
        <v>43</v>
      </c>
      <c r="H5" s="289"/>
      <c r="I5" s="290"/>
      <c r="J5" s="279" t="s">
        <v>43</v>
      </c>
      <c r="K5" s="280"/>
      <c r="L5" s="281"/>
      <c r="M5" s="297"/>
      <c r="N5" s="297"/>
      <c r="O5" s="297"/>
      <c r="P5" s="297"/>
      <c r="Q5" s="297"/>
      <c r="R5" s="297"/>
      <c r="S5" s="297"/>
      <c r="T5" s="297"/>
      <c r="U5" s="297"/>
      <c r="V5" s="298"/>
      <c r="W5" s="13"/>
    </row>
    <row r="6" spans="1: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1:23" x14ac:dyDescent="0.35">
      <c r="B7" s="12"/>
      <c r="C7" s="25" t="s">
        <v>18</v>
      </c>
      <c r="D7" s="7"/>
      <c r="E7" s="25">
        <v>32468349</v>
      </c>
      <c r="F7" s="31"/>
      <c r="G7" s="291"/>
      <c r="H7" s="292"/>
      <c r="I7" s="293"/>
      <c r="J7" s="282"/>
      <c r="K7" s="283"/>
      <c r="L7" s="284"/>
      <c r="M7" s="299"/>
      <c r="N7" s="299"/>
      <c r="O7" s="299"/>
      <c r="P7" s="299"/>
      <c r="Q7" s="299"/>
      <c r="R7" s="299"/>
      <c r="S7" s="299"/>
      <c r="T7" s="299"/>
      <c r="U7" s="299"/>
      <c r="V7" s="300"/>
      <c r="W7" s="13"/>
    </row>
    <row r="8" spans="1: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1:23" ht="150" customHeight="1" x14ac:dyDescent="0.35">
      <c r="A9" t="s">
        <v>43</v>
      </c>
      <c r="B9" s="12"/>
      <c r="C9" s="45" t="s">
        <v>97</v>
      </c>
      <c r="D9" s="45" t="s">
        <v>98</v>
      </c>
      <c r="E9" s="45" t="s">
        <v>99</v>
      </c>
      <c r="F9" s="45" t="s">
        <v>100</v>
      </c>
      <c r="G9" s="306" t="s">
        <v>143</v>
      </c>
      <c r="H9" s="307"/>
      <c r="I9" s="152" t="s">
        <v>144</v>
      </c>
      <c r="J9" s="153" t="s">
        <v>103</v>
      </c>
      <c r="K9" s="154" t="s">
        <v>104</v>
      </c>
      <c r="L9" s="153" t="s">
        <v>105</v>
      </c>
      <c r="M9" s="276" t="s">
        <v>106</v>
      </c>
      <c r="N9" s="277"/>
      <c r="O9" s="277"/>
      <c r="P9" s="277"/>
      <c r="Q9" s="277"/>
      <c r="R9" s="277"/>
      <c r="S9" s="277"/>
      <c r="T9" s="277"/>
      <c r="U9" s="277"/>
      <c r="V9" s="278"/>
      <c r="W9" s="13"/>
    </row>
    <row r="10" spans="1:23" x14ac:dyDescent="0.35">
      <c r="B10" s="12"/>
      <c r="C10" s="3"/>
      <c r="D10" s="3"/>
      <c r="E10" s="3"/>
      <c r="F10" s="3"/>
      <c r="G10" s="3"/>
      <c r="H10" s="3"/>
      <c r="I10" s="3"/>
      <c r="J10" s="3"/>
      <c r="K10" s="3"/>
      <c r="L10" s="3"/>
      <c r="M10" s="33"/>
      <c r="N10" s="33"/>
      <c r="O10" s="33"/>
      <c r="P10" s="33"/>
      <c r="Q10" s="33"/>
      <c r="R10" s="37" t="s">
        <v>107</v>
      </c>
      <c r="S10" s="37" t="s">
        <v>108</v>
      </c>
      <c r="T10" s="37" t="s">
        <v>109</v>
      </c>
      <c r="U10" s="37" t="s">
        <v>110</v>
      </c>
      <c r="V10" s="37" t="s">
        <v>145</v>
      </c>
      <c r="W10" s="13"/>
    </row>
    <row r="11" spans="1:23" x14ac:dyDescent="0.35">
      <c r="B11" s="12"/>
      <c r="C11" s="5" t="s">
        <v>112</v>
      </c>
      <c r="D11" s="3"/>
      <c r="E11" s="3"/>
      <c r="F11" s="3"/>
      <c r="G11" s="151" t="s">
        <v>78</v>
      </c>
      <c r="H11" s="151" t="s">
        <v>79</v>
      </c>
      <c r="I11" s="151" t="s">
        <v>113</v>
      </c>
      <c r="J11" s="3"/>
      <c r="K11" s="3"/>
      <c r="L11" s="3"/>
      <c r="M11" s="37" t="s">
        <v>107</v>
      </c>
      <c r="N11" s="37" t="s">
        <v>108</v>
      </c>
      <c r="O11" s="37" t="s">
        <v>109</v>
      </c>
      <c r="P11" s="37" t="s">
        <v>110</v>
      </c>
      <c r="Q11" s="37" t="s">
        <v>111</v>
      </c>
      <c r="R11" s="37" t="s">
        <v>115</v>
      </c>
      <c r="S11" s="37" t="s">
        <v>115</v>
      </c>
      <c r="T11" s="37" t="s">
        <v>115</v>
      </c>
      <c r="U11" s="37" t="s">
        <v>115</v>
      </c>
      <c r="V11" s="37" t="s">
        <v>115</v>
      </c>
      <c r="W11" s="13"/>
    </row>
    <row r="12" spans="1:23" x14ac:dyDescent="0.35">
      <c r="B12" s="12"/>
      <c r="C12" s="1"/>
      <c r="D12" s="26" t="s">
        <v>146</v>
      </c>
      <c r="E12" s="77">
        <v>2</v>
      </c>
      <c r="F12" s="27" t="s">
        <v>43</v>
      </c>
      <c r="G12" s="37" t="s">
        <v>117</v>
      </c>
      <c r="H12" s="37"/>
      <c r="I12" s="37" t="s">
        <v>117</v>
      </c>
      <c r="J12" s="52">
        <f>+'Beregning og partsberegning'!F$35</f>
        <v>5.3741700348075808E-2</v>
      </c>
      <c r="K12" s="52"/>
      <c r="L12" s="52">
        <f>+J12*E12</f>
        <v>0.10748340069615162</v>
      </c>
      <c r="M12" s="30"/>
      <c r="N12" s="30"/>
      <c r="O12" s="30"/>
      <c r="P12" s="30"/>
      <c r="Q12" s="32" t="s">
        <v>117</v>
      </c>
      <c r="R12" s="30"/>
      <c r="S12" s="30"/>
      <c r="T12" s="30"/>
      <c r="U12" s="30"/>
      <c r="V12" s="30"/>
      <c r="W12" s="13"/>
    </row>
    <row r="13" spans="1:23" x14ac:dyDescent="0.35">
      <c r="B13" s="12"/>
      <c r="C13" s="1"/>
      <c r="D13" s="26" t="s">
        <v>147</v>
      </c>
      <c r="E13" s="77">
        <v>2</v>
      </c>
      <c r="F13" s="27" t="s">
        <v>43</v>
      </c>
      <c r="G13" s="37" t="s">
        <v>117</v>
      </c>
      <c r="H13" s="37"/>
      <c r="I13" s="37" t="s">
        <v>117</v>
      </c>
      <c r="J13" s="52">
        <f>+'Beregning og partsberegning'!F$35</f>
        <v>5.3741700348075808E-2</v>
      </c>
      <c r="K13" s="52"/>
      <c r="L13" s="52">
        <f>+J13*E13</f>
        <v>0.10748340069615162</v>
      </c>
      <c r="M13" s="30"/>
      <c r="N13" s="37" t="s">
        <v>43</v>
      </c>
      <c r="O13" s="30"/>
      <c r="P13" s="30"/>
      <c r="Q13" s="32" t="s">
        <v>117</v>
      </c>
      <c r="R13" s="30"/>
      <c r="S13" s="30"/>
      <c r="T13" s="30"/>
      <c r="U13" s="30"/>
      <c r="V13" s="30"/>
      <c r="W13" s="13"/>
    </row>
    <row r="14" spans="1:23" x14ac:dyDescent="0.35">
      <c r="B14" s="12"/>
      <c r="C14" s="1"/>
      <c r="D14" s="26" t="s">
        <v>148</v>
      </c>
      <c r="E14" s="77">
        <v>2</v>
      </c>
      <c r="F14" s="27" t="s">
        <v>43</v>
      </c>
      <c r="G14" s="37" t="s">
        <v>117</v>
      </c>
      <c r="H14" s="37"/>
      <c r="I14" s="37" t="s">
        <v>117</v>
      </c>
      <c r="J14" s="52">
        <f>+'Beregning og partsberegning'!F$35</f>
        <v>5.3741700348075808E-2</v>
      </c>
      <c r="K14" s="52"/>
      <c r="L14" s="52">
        <f>+J14*E14</f>
        <v>0.10748340069615162</v>
      </c>
      <c r="M14" s="30"/>
      <c r="N14" s="30"/>
      <c r="O14" s="30"/>
      <c r="P14" s="30" t="s">
        <v>43</v>
      </c>
      <c r="Q14" s="32" t="s">
        <v>117</v>
      </c>
      <c r="R14" s="30"/>
      <c r="S14" s="30"/>
      <c r="T14" s="30"/>
      <c r="U14" s="30"/>
      <c r="V14" s="30"/>
      <c r="W14" s="13"/>
    </row>
    <row r="15" spans="1:23" x14ac:dyDescent="0.35">
      <c r="B15" s="12"/>
      <c r="C15" s="1"/>
      <c r="D15" s="26" t="s">
        <v>149</v>
      </c>
      <c r="E15" s="77">
        <v>6</v>
      </c>
      <c r="F15" s="27" t="s">
        <v>43</v>
      </c>
      <c r="G15" s="37" t="s">
        <v>117</v>
      </c>
      <c r="H15" s="37"/>
      <c r="I15" s="37" t="s">
        <v>117</v>
      </c>
      <c r="J15" s="52">
        <f>+'Beregning og partsberegning'!F$35</f>
        <v>5.3741700348075808E-2</v>
      </c>
      <c r="K15" s="52"/>
      <c r="L15" s="52">
        <f>+J15*E15</f>
        <v>0.32245020208845487</v>
      </c>
      <c r="M15" s="30" t="s">
        <v>43</v>
      </c>
      <c r="N15" s="30"/>
      <c r="O15" s="30"/>
      <c r="P15" s="30"/>
      <c r="Q15" s="32" t="s">
        <v>117</v>
      </c>
      <c r="R15" s="30"/>
      <c r="S15" s="30"/>
      <c r="T15" s="30"/>
      <c r="U15" s="30"/>
      <c r="V15" s="30"/>
      <c r="W15" s="13"/>
    </row>
    <row r="16" spans="1:23" x14ac:dyDescent="0.35">
      <c r="B16" s="12"/>
      <c r="C16" s="1"/>
      <c r="D16" s="26" t="s">
        <v>150</v>
      </c>
      <c r="E16" s="77">
        <v>3</v>
      </c>
      <c r="F16" s="27" t="s">
        <v>43</v>
      </c>
      <c r="G16" s="37" t="s">
        <v>117</v>
      </c>
      <c r="H16" s="37"/>
      <c r="I16" s="37" t="s">
        <v>117</v>
      </c>
      <c r="J16" s="52">
        <f>+'Beregning og partsberegning'!F$35</f>
        <v>5.3741700348075808E-2</v>
      </c>
      <c r="K16" s="52"/>
      <c r="L16" s="52">
        <f>+J16*E16</f>
        <v>0.16122510104422744</v>
      </c>
      <c r="M16" s="30"/>
      <c r="N16" s="30"/>
      <c r="O16" s="30"/>
      <c r="P16" s="30"/>
      <c r="Q16" s="32" t="s">
        <v>117</v>
      </c>
      <c r="R16" s="30"/>
      <c r="S16" s="30"/>
      <c r="T16" s="30"/>
      <c r="U16" s="30"/>
      <c r="V16" s="30"/>
      <c r="W16" s="13"/>
    </row>
    <row r="17" spans="2:23" x14ac:dyDescent="0.35">
      <c r="B17" s="12"/>
      <c r="C17" s="5" t="s">
        <v>129</v>
      </c>
      <c r="D17" s="3"/>
      <c r="E17" s="21"/>
      <c r="F17" s="21"/>
      <c r="G17" s="46"/>
      <c r="H17" s="46"/>
      <c r="I17" s="46"/>
      <c r="J17" s="53"/>
      <c r="K17" s="53"/>
      <c r="L17" s="53" t="s">
        <v>43</v>
      </c>
      <c r="M17" s="33"/>
      <c r="N17" s="33"/>
      <c r="O17" s="33"/>
      <c r="P17" s="33"/>
      <c r="Q17" s="33"/>
      <c r="R17" s="33"/>
      <c r="S17" s="33"/>
      <c r="T17" s="33"/>
      <c r="U17" s="33"/>
      <c r="V17" s="33"/>
      <c r="W17" s="13"/>
    </row>
    <row r="18" spans="2:23" x14ac:dyDescent="0.35">
      <c r="B18" s="12"/>
      <c r="C18" s="1"/>
      <c r="D18" s="26" t="s">
        <v>151</v>
      </c>
      <c r="E18" s="77">
        <v>13</v>
      </c>
      <c r="F18" s="84">
        <v>203.59999999999997</v>
      </c>
      <c r="G18" s="37"/>
      <c r="H18" s="37" t="s">
        <v>117</v>
      </c>
      <c r="I18" s="37"/>
      <c r="J18" s="52"/>
      <c r="K18" s="52">
        <f>+'Beregning og partsberegning'!H34</f>
        <v>4.9153994220801052E-3</v>
      </c>
      <c r="L18" s="52">
        <f>+K18*(F18/20)</f>
        <v>5.0038766116775463E-2</v>
      </c>
      <c r="M18" s="30"/>
      <c r="N18" s="30"/>
      <c r="O18" s="30"/>
      <c r="P18" s="30"/>
      <c r="Q18" s="30"/>
      <c r="R18" s="30"/>
      <c r="S18" s="30"/>
      <c r="T18" s="30"/>
      <c r="U18" s="32" t="s">
        <v>117</v>
      </c>
      <c r="V18" s="30"/>
      <c r="W18" s="13"/>
    </row>
    <row r="19" spans="2:23" x14ac:dyDescent="0.35">
      <c r="B19" s="12"/>
      <c r="M19" s="72"/>
      <c r="N19" s="72"/>
      <c r="O19" s="72"/>
      <c r="P19" s="72"/>
      <c r="Q19" s="72"/>
      <c r="R19" s="72"/>
      <c r="S19" s="72"/>
      <c r="T19" s="72"/>
      <c r="U19" s="72"/>
      <c r="V19" s="72" t="s">
        <v>43</v>
      </c>
      <c r="W19" s="13"/>
    </row>
    <row r="20" spans="2:23" ht="15" thickBot="1" x14ac:dyDescent="0.4">
      <c r="B20" s="12"/>
      <c r="K20" s="117" t="s">
        <v>42</v>
      </c>
      <c r="L20" s="71">
        <f>SUM(L12:L18)</f>
        <v>0.85616427133791262</v>
      </c>
      <c r="N20" s="179" t="s">
        <v>131</v>
      </c>
      <c r="O20" s="178">
        <f>40000*(SUM(E12:E16))+(F18/20)*35000</f>
        <v>956300</v>
      </c>
      <c r="P20" s="2" t="s">
        <v>54</v>
      </c>
      <c r="W20" s="13"/>
    </row>
    <row r="21" spans="2:23" ht="9" customHeight="1" thickTop="1" thickBot="1" x14ac:dyDescent="0.4">
      <c r="B21" s="17"/>
      <c r="C21" s="18"/>
      <c r="D21" s="18"/>
      <c r="E21" s="18"/>
      <c r="F21" s="18"/>
      <c r="G21" s="18"/>
      <c r="H21" s="18"/>
      <c r="I21" s="18"/>
      <c r="J21" s="18"/>
      <c r="K21" s="18"/>
      <c r="L21" s="18"/>
      <c r="M21" s="18"/>
      <c r="N21" s="18"/>
      <c r="O21" s="18"/>
      <c r="P21" s="18"/>
      <c r="Q21" s="18"/>
      <c r="R21" s="18"/>
      <c r="S21" s="18"/>
      <c r="T21" s="18"/>
      <c r="U21" s="18"/>
      <c r="V21" s="18"/>
      <c r="W21" s="19"/>
    </row>
    <row r="32" spans="2:23" x14ac:dyDescent="0.35">
      <c r="D32" t="s">
        <v>43</v>
      </c>
    </row>
  </sheetData>
  <mergeCells count="10">
    <mergeCell ref="G9:H9"/>
    <mergeCell ref="C4:F4"/>
    <mergeCell ref="G4:I4"/>
    <mergeCell ref="J4:L4"/>
    <mergeCell ref="M9:V9"/>
    <mergeCell ref="C3:V3"/>
    <mergeCell ref="G5:I8"/>
    <mergeCell ref="J5:L8"/>
    <mergeCell ref="C8:F8"/>
    <mergeCell ref="M5:V8"/>
  </mergeCells>
  <pageMargins left="0.7" right="0.7" top="0.75" bottom="0.75" header="0.3" footer="0.3"/>
  <pageSetup paperSize="8" scale="3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E314E-2A11-4B04-89CF-94A84A20230F}">
  <sheetPr>
    <pageSetUpPr fitToPage="1"/>
  </sheetPr>
  <dimension ref="B1:J19"/>
  <sheetViews>
    <sheetView showGridLines="0" zoomScale="106" zoomScaleNormal="106" workbookViewId="0">
      <selection activeCell="C7" sqref="C7"/>
    </sheetView>
  </sheetViews>
  <sheetFormatPr defaultRowHeight="14.5" x14ac:dyDescent="0.35"/>
  <cols>
    <col min="1" max="1" width="1.54296875" customWidth="1"/>
    <col min="2" max="2" width="1.453125" customWidth="1"/>
    <col min="3" max="3" width="45.7265625" customWidth="1"/>
    <col min="4" max="4" width="33.453125" customWidth="1"/>
    <col min="5" max="6" width="15.7265625" customWidth="1"/>
    <col min="7" max="9" width="25.7265625" customWidth="1"/>
    <col min="10" max="10" width="1.26953125" customWidth="1"/>
  </cols>
  <sheetData>
    <row r="1" spans="2:10" ht="8.5" customHeight="1" thickBot="1" x14ac:dyDescent="0.4"/>
    <row r="2" spans="2:10" ht="7.9" customHeight="1" x14ac:dyDescent="0.35">
      <c r="B2" s="9"/>
      <c r="C2" s="10" t="s">
        <v>43</v>
      </c>
      <c r="D2" s="10"/>
      <c r="E2" s="10"/>
      <c r="F2" s="10"/>
      <c r="G2" s="10"/>
      <c r="H2" s="10"/>
      <c r="I2" s="10"/>
      <c r="J2" s="11"/>
    </row>
    <row r="3" spans="2:10" ht="21" x14ac:dyDescent="0.5">
      <c r="B3" s="12"/>
      <c r="C3" s="273" t="str">
        <f>Overs!C3</f>
        <v>BogenseKystdiger_BidragsfordelingForsyning_2026_Feb_Version3</v>
      </c>
      <c r="D3" s="274"/>
      <c r="E3" s="274"/>
      <c r="F3" s="274"/>
      <c r="G3" s="274"/>
      <c r="H3" s="274"/>
      <c r="I3" s="275"/>
      <c r="J3" s="13"/>
    </row>
    <row r="4" spans="2:10" ht="21" x14ac:dyDescent="0.5">
      <c r="B4" s="12"/>
      <c r="C4" s="313" t="s">
        <v>132</v>
      </c>
      <c r="D4" s="313"/>
      <c r="E4" s="313"/>
      <c r="F4" s="313"/>
      <c r="G4" s="303" t="s">
        <v>92</v>
      </c>
      <c r="H4" s="304"/>
      <c r="I4" s="305"/>
      <c r="J4" s="13"/>
    </row>
    <row r="5" spans="2:10" x14ac:dyDescent="0.35">
      <c r="B5" s="12"/>
      <c r="C5" s="264"/>
      <c r="D5" s="265"/>
      <c r="E5" s="265"/>
      <c r="F5" s="314"/>
      <c r="G5" s="279" t="s">
        <v>43</v>
      </c>
      <c r="H5" s="280"/>
      <c r="I5" s="281"/>
      <c r="J5" s="13"/>
    </row>
    <row r="6" spans="2:10" x14ac:dyDescent="0.35">
      <c r="B6" s="12"/>
      <c r="C6" s="6" t="s">
        <v>94</v>
      </c>
      <c r="D6" s="6" t="s">
        <v>43</v>
      </c>
      <c r="E6" s="6" t="s">
        <v>95</v>
      </c>
      <c r="F6" s="6"/>
      <c r="G6" s="282"/>
      <c r="H6" s="283"/>
      <c r="I6" s="284"/>
      <c r="J6" s="13"/>
    </row>
    <row r="7" spans="2:10" x14ac:dyDescent="0.35">
      <c r="B7" s="12"/>
      <c r="C7" s="25" t="s">
        <v>18</v>
      </c>
      <c r="D7" s="7"/>
      <c r="E7" s="25">
        <v>32468349</v>
      </c>
      <c r="F7" s="31"/>
      <c r="G7" s="282"/>
      <c r="H7" s="283"/>
      <c r="I7" s="284"/>
      <c r="J7" s="13"/>
    </row>
    <row r="8" spans="2:10" ht="49.9" customHeight="1" x14ac:dyDescent="0.35">
      <c r="B8" s="12"/>
      <c r="C8" s="311" t="s">
        <v>96</v>
      </c>
      <c r="D8" s="312"/>
      <c r="E8" s="312"/>
      <c r="F8" s="312"/>
      <c r="G8" s="285"/>
      <c r="H8" s="286"/>
      <c r="I8" s="287"/>
      <c r="J8" s="13"/>
    </row>
    <row r="9" spans="2:10" ht="30" customHeight="1" x14ac:dyDescent="0.35">
      <c r="B9" s="12"/>
      <c r="C9" s="4" t="s">
        <v>97</v>
      </c>
      <c r="D9" s="4" t="s">
        <v>98</v>
      </c>
      <c r="E9" s="4" t="s">
        <v>99</v>
      </c>
      <c r="F9" s="4" t="s">
        <v>100</v>
      </c>
      <c r="G9" s="144" t="s">
        <v>103</v>
      </c>
      <c r="H9" s="145" t="s">
        <v>104</v>
      </c>
      <c r="I9" s="144" t="s">
        <v>105</v>
      </c>
      <c r="J9" s="13"/>
    </row>
    <row r="10" spans="2:10" x14ac:dyDescent="0.35">
      <c r="B10" s="12"/>
      <c r="C10" s="3"/>
      <c r="D10" s="3"/>
      <c r="E10" s="3"/>
      <c r="F10" s="3"/>
      <c r="G10" s="3"/>
      <c r="H10" s="3"/>
      <c r="I10" s="3"/>
      <c r="J10" s="13"/>
    </row>
    <row r="11" spans="2:10" x14ac:dyDescent="0.35">
      <c r="B11" s="12"/>
      <c r="C11" s="5" t="s">
        <v>112</v>
      </c>
      <c r="D11" s="3"/>
      <c r="E11" s="3"/>
      <c r="F11" s="3"/>
      <c r="G11" s="3"/>
      <c r="H11" s="3"/>
      <c r="I11" s="3"/>
      <c r="J11" s="13"/>
    </row>
    <row r="12" spans="2:10" x14ac:dyDescent="0.35">
      <c r="B12" s="12"/>
      <c r="C12" s="30"/>
      <c r="D12" s="26" t="s">
        <v>149</v>
      </c>
      <c r="E12" s="77">
        <v>1</v>
      </c>
      <c r="F12" s="78" t="s">
        <v>43</v>
      </c>
      <c r="G12" s="52">
        <f>+'Beregning og partsberegning'!H$34</f>
        <v>4.9153994220801052E-3</v>
      </c>
      <c r="H12" s="52"/>
      <c r="I12" s="52">
        <f>+G12*E12</f>
        <v>4.9153994220801052E-3</v>
      </c>
      <c r="J12" s="13"/>
    </row>
    <row r="13" spans="2:10" x14ac:dyDescent="0.35">
      <c r="B13" s="12"/>
      <c r="C13" s="1"/>
      <c r="D13" s="26" t="s">
        <v>150</v>
      </c>
      <c r="E13" s="77">
        <v>2</v>
      </c>
      <c r="F13" s="78" t="s">
        <v>43</v>
      </c>
      <c r="G13" s="52">
        <f>+'Beregning og partsberegning'!H$34</f>
        <v>4.9153994220801052E-3</v>
      </c>
      <c r="H13" s="52"/>
      <c r="I13" s="52">
        <f>+G13*E13</f>
        <v>9.8307988441602105E-3</v>
      </c>
      <c r="J13" s="13"/>
    </row>
    <row r="14" spans="2:10" x14ac:dyDescent="0.35">
      <c r="B14" s="12"/>
      <c r="C14" s="5" t="s">
        <v>129</v>
      </c>
      <c r="D14" s="3"/>
      <c r="E14" s="21"/>
      <c r="F14" s="85"/>
      <c r="G14" s="53" t="s">
        <v>43</v>
      </c>
      <c r="H14" s="53"/>
      <c r="I14" s="53" t="s">
        <v>43</v>
      </c>
      <c r="J14" s="13"/>
    </row>
    <row r="15" spans="2:10" x14ac:dyDescent="0.35">
      <c r="B15" s="12"/>
      <c r="C15" s="1"/>
      <c r="D15" s="26" t="s">
        <v>151</v>
      </c>
      <c r="E15" s="77">
        <v>2</v>
      </c>
      <c r="F15" s="78">
        <v>19</v>
      </c>
      <c r="G15" s="52"/>
      <c r="H15" s="52">
        <f>+G12</f>
        <v>4.9153994220801052E-3</v>
      </c>
      <c r="I15" s="52">
        <f>+H15*(F15/20)</f>
        <v>4.6696294509761E-3</v>
      </c>
      <c r="J15" s="13"/>
    </row>
    <row r="16" spans="2:10" x14ac:dyDescent="0.35">
      <c r="B16" s="12"/>
      <c r="C16" s="1"/>
      <c r="D16" s="26" t="s">
        <v>152</v>
      </c>
      <c r="E16" s="77">
        <v>2</v>
      </c>
      <c r="F16" s="78">
        <v>37.700000000000003</v>
      </c>
      <c r="G16" s="52"/>
      <c r="H16" s="52">
        <f>+G12</f>
        <v>4.9153994220801052E-3</v>
      </c>
      <c r="I16" s="52">
        <f>+H16*(F16/20)</f>
        <v>9.2655279106209996E-3</v>
      </c>
      <c r="J16" s="13"/>
    </row>
    <row r="17" spans="2:10" ht="11.5" customHeight="1" x14ac:dyDescent="0.35">
      <c r="B17" s="12"/>
      <c r="G17" s="54"/>
      <c r="H17" s="54"/>
      <c r="I17" s="54"/>
      <c r="J17" s="13"/>
    </row>
    <row r="18" spans="2:10" ht="15" thickBot="1" x14ac:dyDescent="0.4">
      <c r="B18" s="12"/>
      <c r="D18" s="179" t="s">
        <v>131</v>
      </c>
      <c r="E18" s="178">
        <f>40000*(SUM(E12:E13))+35000*(15/20)+40000*(F16/20)</f>
        <v>221650</v>
      </c>
      <c r="F18" s="2" t="s">
        <v>54</v>
      </c>
      <c r="H18" s="95" t="s">
        <v>42</v>
      </c>
      <c r="I18" s="71">
        <f>+SUM(I12:I16)</f>
        <v>2.8681355627837413E-2</v>
      </c>
      <c r="J18" s="13"/>
    </row>
    <row r="19" spans="2:10" ht="7.9" customHeight="1" thickTop="1" thickBot="1" x14ac:dyDescent="0.4">
      <c r="B19" s="17"/>
      <c r="C19" s="18"/>
      <c r="D19" s="18"/>
      <c r="E19" s="18"/>
      <c r="F19" s="18"/>
      <c r="G19" s="18"/>
      <c r="H19" s="18"/>
      <c r="I19" s="18"/>
      <c r="J19" s="19"/>
    </row>
  </sheetData>
  <mergeCells count="6">
    <mergeCell ref="C3:I3"/>
    <mergeCell ref="G5:I8"/>
    <mergeCell ref="C8:F8"/>
    <mergeCell ref="C5:F5"/>
    <mergeCell ref="C4:F4"/>
    <mergeCell ref="G4:I4"/>
  </mergeCells>
  <pageMargins left="0.7" right="0.7" top="0.75" bottom="0.75" header="0.3" footer="0.3"/>
  <pageSetup paperSize="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9077-9CDD-4EB3-A79F-65B435313240}">
  <sheetPr>
    <pageSetUpPr fitToPage="1"/>
  </sheetPr>
  <dimension ref="B1:W18"/>
  <sheetViews>
    <sheetView showGridLines="0" zoomScaleNormal="100" workbookViewId="0">
      <selection activeCell="C7" sqref="C7"/>
    </sheetView>
  </sheetViews>
  <sheetFormatPr defaultRowHeight="14.5" x14ac:dyDescent="0.35"/>
  <cols>
    <col min="1" max="1" width="1.7265625" customWidth="1"/>
    <col min="2" max="2" width="1.453125" customWidth="1"/>
    <col min="3" max="3" width="51" customWidth="1"/>
    <col min="4" max="4" width="17.26953125" customWidth="1"/>
    <col min="5" max="6" width="15.54296875" customWidth="1"/>
    <col min="7" max="7" width="35.7265625" customWidth="1"/>
    <col min="8" max="8" width="25.7265625" customWidth="1"/>
    <col min="9" max="9" width="53" customWidth="1"/>
    <col min="10" max="13" width="25.7265625" customWidth="1"/>
    <col min="14" max="14" width="34.7265625" customWidth="1"/>
    <col min="15" max="22" width="25.7265625" customWidth="1"/>
    <col min="23" max="23" width="1.26953125" customWidth="1"/>
  </cols>
  <sheetData>
    <row r="1" spans="2:23" ht="7.15" customHeight="1" thickBot="1" x14ac:dyDescent="0.4"/>
    <row r="2" spans="2:23" ht="7.9" customHeight="1" x14ac:dyDescent="0.35">
      <c r="B2" s="9"/>
      <c r="C2" s="10"/>
      <c r="D2" s="10"/>
      <c r="E2" s="10"/>
      <c r="F2" s="10"/>
      <c r="G2" s="10"/>
      <c r="H2" s="10"/>
      <c r="I2" s="10"/>
      <c r="J2" s="10"/>
      <c r="K2" s="10"/>
      <c r="L2" s="10"/>
      <c r="M2" s="10"/>
      <c r="N2" s="10"/>
      <c r="O2" s="10"/>
      <c r="P2" s="10"/>
      <c r="Q2" s="10"/>
      <c r="R2" s="10"/>
      <c r="S2" s="10"/>
      <c r="T2" s="10"/>
      <c r="U2" s="10"/>
      <c r="V2" s="10"/>
      <c r="W2" s="11"/>
    </row>
    <row r="3" spans="2:23" ht="21" x14ac:dyDescent="0.5">
      <c r="B3" s="12"/>
      <c r="C3" s="273" t="str">
        <f>Overs!C3</f>
        <v>BogenseKystdiger_BidragsfordelingForsyning_2026_Feb_Version3</v>
      </c>
      <c r="D3" s="274"/>
      <c r="E3" s="274"/>
      <c r="F3" s="274"/>
      <c r="G3" s="274"/>
      <c r="H3" s="274"/>
      <c r="I3" s="274"/>
      <c r="J3" s="274"/>
      <c r="K3" s="274"/>
      <c r="L3" s="274"/>
      <c r="M3" s="274"/>
      <c r="N3" s="274"/>
      <c r="O3" s="274"/>
      <c r="P3" s="274"/>
      <c r="Q3" s="274"/>
      <c r="R3" s="274"/>
      <c r="S3" s="274"/>
      <c r="T3" s="274"/>
      <c r="U3" s="274"/>
      <c r="V3" s="275"/>
      <c r="W3" s="13"/>
    </row>
    <row r="4" spans="2:23" ht="21" x14ac:dyDescent="0.5">
      <c r="B4" s="12"/>
      <c r="C4" s="317" t="s">
        <v>90</v>
      </c>
      <c r="D4" s="318"/>
      <c r="E4" s="318"/>
      <c r="F4" s="318"/>
      <c r="G4" s="308" t="s">
        <v>91</v>
      </c>
      <c r="H4" s="309"/>
      <c r="I4" s="310"/>
      <c r="J4" s="303" t="s">
        <v>92</v>
      </c>
      <c r="K4" s="304"/>
      <c r="L4" s="305"/>
      <c r="M4" s="146" t="s">
        <v>93</v>
      </c>
      <c r="N4" s="147"/>
      <c r="O4" s="147"/>
      <c r="P4" s="147"/>
      <c r="Q4" s="147"/>
      <c r="R4" s="147"/>
      <c r="S4" s="147"/>
      <c r="T4" s="147"/>
      <c r="U4" s="147"/>
      <c r="V4" s="148"/>
      <c r="W4" s="13"/>
    </row>
    <row r="5" spans="2:23" x14ac:dyDescent="0.35">
      <c r="B5" s="12"/>
      <c r="C5" s="99"/>
      <c r="G5" s="288" t="s">
        <v>43</v>
      </c>
      <c r="H5" s="289"/>
      <c r="I5" s="290"/>
      <c r="J5" s="279" t="s">
        <v>43</v>
      </c>
      <c r="K5" s="280"/>
      <c r="L5" s="281"/>
      <c r="M5" s="297"/>
      <c r="N5" s="297"/>
      <c r="O5" s="297"/>
      <c r="P5" s="297"/>
      <c r="Q5" s="297"/>
      <c r="R5" s="297"/>
      <c r="S5" s="297"/>
      <c r="T5" s="297"/>
      <c r="U5" s="297"/>
      <c r="V5" s="298"/>
      <c r="W5" s="13"/>
    </row>
    <row r="6" spans="2:23" x14ac:dyDescent="0.35">
      <c r="B6" s="12"/>
      <c r="C6" s="6" t="s">
        <v>94</v>
      </c>
      <c r="D6" s="6" t="s">
        <v>43</v>
      </c>
      <c r="E6" s="6" t="s">
        <v>95</v>
      </c>
      <c r="F6" s="6"/>
      <c r="G6" s="291"/>
      <c r="H6" s="292"/>
      <c r="I6" s="293"/>
      <c r="J6" s="282"/>
      <c r="K6" s="283"/>
      <c r="L6" s="284"/>
      <c r="M6" s="299"/>
      <c r="N6" s="299"/>
      <c r="O6" s="299"/>
      <c r="P6" s="299"/>
      <c r="Q6" s="299"/>
      <c r="R6" s="299"/>
      <c r="S6" s="299"/>
      <c r="T6" s="299"/>
      <c r="U6" s="299"/>
      <c r="V6" s="300"/>
      <c r="W6" s="13"/>
    </row>
    <row r="7" spans="2:23" x14ac:dyDescent="0.35">
      <c r="B7" s="12"/>
      <c r="C7" s="25" t="s">
        <v>20</v>
      </c>
      <c r="D7" s="7"/>
      <c r="E7" s="77">
        <v>21536849</v>
      </c>
      <c r="F7" s="31"/>
      <c r="G7" s="291"/>
      <c r="H7" s="292"/>
      <c r="I7" s="293"/>
      <c r="J7" s="282"/>
      <c r="K7" s="283"/>
      <c r="L7" s="284"/>
      <c r="M7" s="299"/>
      <c r="N7" s="299"/>
      <c r="O7" s="299"/>
      <c r="P7" s="299"/>
      <c r="Q7" s="299"/>
      <c r="R7" s="299"/>
      <c r="S7" s="299"/>
      <c r="T7" s="299"/>
      <c r="U7" s="299"/>
      <c r="V7" s="300"/>
      <c r="W7" s="13"/>
    </row>
    <row r="8" spans="2:23" ht="49.9" customHeight="1" x14ac:dyDescent="0.35">
      <c r="B8" s="12"/>
      <c r="C8" s="311" t="s">
        <v>96</v>
      </c>
      <c r="D8" s="312"/>
      <c r="E8" s="312"/>
      <c r="F8" s="312"/>
      <c r="G8" s="294"/>
      <c r="H8" s="295"/>
      <c r="I8" s="296"/>
      <c r="J8" s="285"/>
      <c r="K8" s="286"/>
      <c r="L8" s="287"/>
      <c r="M8" s="301"/>
      <c r="N8" s="301"/>
      <c r="O8" s="301"/>
      <c r="P8" s="301"/>
      <c r="Q8" s="301"/>
      <c r="R8" s="301"/>
      <c r="S8" s="301"/>
      <c r="T8" s="301"/>
      <c r="U8" s="301"/>
      <c r="V8" s="302"/>
      <c r="W8" s="13"/>
    </row>
    <row r="9" spans="2:23" ht="160.15" customHeight="1" x14ac:dyDescent="0.35">
      <c r="B9" s="12"/>
      <c r="C9" s="4" t="s">
        <v>97</v>
      </c>
      <c r="D9" s="4" t="s">
        <v>98</v>
      </c>
      <c r="E9" s="4" t="s">
        <v>99</v>
      </c>
      <c r="F9" s="4" t="s">
        <v>100</v>
      </c>
      <c r="G9" s="306" t="s">
        <v>153</v>
      </c>
      <c r="H9" s="307"/>
      <c r="I9" s="143" t="s">
        <v>154</v>
      </c>
      <c r="J9" s="144" t="s">
        <v>103</v>
      </c>
      <c r="K9" s="145" t="s">
        <v>104</v>
      </c>
      <c r="L9" s="144" t="s">
        <v>105</v>
      </c>
      <c r="M9" s="276" t="s">
        <v>106</v>
      </c>
      <c r="N9" s="277"/>
      <c r="O9" s="277"/>
      <c r="P9" s="277"/>
      <c r="Q9" s="277"/>
      <c r="R9" s="277"/>
      <c r="S9" s="277"/>
      <c r="T9" s="277"/>
      <c r="U9" s="277"/>
      <c r="V9" s="278"/>
      <c r="W9" s="13"/>
    </row>
    <row r="10" spans="2:23" x14ac:dyDescent="0.35">
      <c r="B10" s="12"/>
      <c r="C10" s="3"/>
      <c r="D10" s="3"/>
      <c r="E10" s="3"/>
      <c r="F10" s="3"/>
      <c r="G10" s="3"/>
      <c r="H10" s="3"/>
      <c r="I10" s="3"/>
      <c r="J10" s="3"/>
      <c r="K10" s="3"/>
      <c r="L10" s="3"/>
      <c r="M10" s="33"/>
      <c r="N10" s="33"/>
      <c r="O10" s="33"/>
      <c r="P10" s="33"/>
      <c r="Q10" s="33"/>
      <c r="R10" s="30" t="s">
        <v>107</v>
      </c>
      <c r="S10" s="30" t="s">
        <v>108</v>
      </c>
      <c r="T10" s="30" t="s">
        <v>109</v>
      </c>
      <c r="U10" s="30" t="s">
        <v>110</v>
      </c>
      <c r="V10" s="30" t="s">
        <v>114</v>
      </c>
      <c r="W10" s="13"/>
    </row>
    <row r="11" spans="2:23" x14ac:dyDescent="0.35">
      <c r="B11" s="12"/>
      <c r="C11" s="5" t="s">
        <v>112</v>
      </c>
      <c r="D11" s="3"/>
      <c r="E11" s="3"/>
      <c r="F11" s="3"/>
      <c r="G11" s="151" t="s">
        <v>78</v>
      </c>
      <c r="H11" s="151" t="s">
        <v>79</v>
      </c>
      <c r="I11" s="151" t="s">
        <v>113</v>
      </c>
      <c r="J11" s="3"/>
      <c r="K11" s="3"/>
      <c r="L11" s="3"/>
      <c r="M11" s="30" t="s">
        <v>107</v>
      </c>
      <c r="N11" s="30" t="s">
        <v>108</v>
      </c>
      <c r="O11" s="30" t="s">
        <v>109</v>
      </c>
      <c r="P11" s="30" t="s">
        <v>110</v>
      </c>
      <c r="Q11" s="30" t="s">
        <v>111</v>
      </c>
      <c r="R11" s="30" t="s">
        <v>115</v>
      </c>
      <c r="S11" s="30" t="s">
        <v>115</v>
      </c>
      <c r="T11" s="30" t="s">
        <v>115</v>
      </c>
      <c r="U11" s="30" t="s">
        <v>115</v>
      </c>
      <c r="V11" s="30" t="s">
        <v>115</v>
      </c>
      <c r="W11" s="13"/>
    </row>
    <row r="12" spans="2:23" x14ac:dyDescent="0.35">
      <c r="B12" s="12"/>
      <c r="C12" s="1"/>
      <c r="D12" s="26" t="s">
        <v>123</v>
      </c>
      <c r="E12" s="77">
        <v>50</v>
      </c>
      <c r="F12" s="27">
        <v>0</v>
      </c>
      <c r="G12" s="37" t="s">
        <v>117</v>
      </c>
      <c r="H12" s="30"/>
      <c r="I12" s="37" t="s">
        <v>117</v>
      </c>
      <c r="J12" s="52">
        <f>+'Beregning og partsberegning'!F35</f>
        <v>5.3741700348075808E-2</v>
      </c>
      <c r="K12" s="52"/>
      <c r="L12" s="52">
        <f>+J12*E12</f>
        <v>2.6870850174037906</v>
      </c>
      <c r="M12" s="30"/>
      <c r="N12" s="30"/>
      <c r="O12" s="30"/>
      <c r="P12" s="30"/>
      <c r="Q12" s="32" t="s">
        <v>117</v>
      </c>
      <c r="R12" s="30"/>
      <c r="S12" s="30"/>
      <c r="T12" s="30"/>
      <c r="U12" s="30"/>
      <c r="V12" s="30"/>
      <c r="W12" s="13"/>
    </row>
    <row r="13" spans="2:23" x14ac:dyDescent="0.35">
      <c r="B13" s="12"/>
      <c r="C13" s="1"/>
      <c r="D13" s="26" t="s">
        <v>120</v>
      </c>
      <c r="E13" s="77">
        <v>28</v>
      </c>
      <c r="F13" s="27">
        <v>0</v>
      </c>
      <c r="G13" s="37" t="s">
        <v>117</v>
      </c>
      <c r="H13" s="30"/>
      <c r="I13" s="37" t="s">
        <v>117</v>
      </c>
      <c r="J13" s="52">
        <f>+J12</f>
        <v>5.3741700348075808E-2</v>
      </c>
      <c r="K13" s="52"/>
      <c r="L13" s="52">
        <f>+J13*E13</f>
        <v>1.5047676097461227</v>
      </c>
      <c r="M13" s="30"/>
      <c r="N13" s="30"/>
      <c r="O13" s="30"/>
      <c r="P13" s="30"/>
      <c r="Q13" s="32" t="s">
        <v>117</v>
      </c>
      <c r="R13" s="30"/>
      <c r="S13" s="30"/>
      <c r="T13" s="30"/>
      <c r="U13" s="30"/>
      <c r="V13" s="30"/>
      <c r="W13" s="13"/>
    </row>
    <row r="14" spans="2:23" x14ac:dyDescent="0.35">
      <c r="B14" s="12"/>
      <c r="C14" s="5" t="s">
        <v>129</v>
      </c>
      <c r="D14" s="3"/>
      <c r="E14" s="21"/>
      <c r="F14" s="21"/>
      <c r="G14" s="33"/>
      <c r="H14" s="33"/>
      <c r="I14" s="33"/>
      <c r="J14" s="53"/>
      <c r="K14" s="53"/>
      <c r="L14" s="53"/>
      <c r="M14" s="33"/>
      <c r="N14" s="33"/>
      <c r="O14" s="33"/>
      <c r="P14" s="33"/>
      <c r="Q14" s="33"/>
      <c r="R14" s="33"/>
      <c r="S14" s="33"/>
      <c r="T14" s="33"/>
      <c r="U14" s="33"/>
      <c r="V14" s="33"/>
      <c r="W14" s="13"/>
    </row>
    <row r="15" spans="2:23" x14ac:dyDescent="0.35">
      <c r="B15" s="12"/>
      <c r="C15" s="1"/>
      <c r="D15" s="26" t="s">
        <v>155</v>
      </c>
      <c r="E15" s="77">
        <v>5606</v>
      </c>
      <c r="F15" s="84">
        <v>58914.400000000001</v>
      </c>
      <c r="G15" s="30"/>
      <c r="H15" s="37" t="s">
        <v>117</v>
      </c>
      <c r="I15" s="30"/>
      <c r="J15" s="52"/>
      <c r="K15" s="52">
        <f>+'Beregning og partsberegning'!H34</f>
        <v>4.9153994220801052E-3</v>
      </c>
      <c r="L15" s="52">
        <f>+K15*(F15/20)</f>
        <v>14.479390385609809</v>
      </c>
      <c r="M15" s="30"/>
      <c r="N15" s="30"/>
      <c r="O15" s="30"/>
      <c r="P15" s="30"/>
      <c r="Q15" s="30"/>
      <c r="R15" s="30"/>
      <c r="S15" s="30"/>
      <c r="T15" s="30"/>
      <c r="U15" s="32" t="s">
        <v>117</v>
      </c>
      <c r="V15" s="30"/>
      <c r="W15" s="13"/>
    </row>
    <row r="16" spans="2:23" x14ac:dyDescent="0.35">
      <c r="B16" s="12"/>
      <c r="J16" s="54"/>
      <c r="W16" s="13"/>
    </row>
    <row r="17" spans="2:23" ht="15" thickBot="1" x14ac:dyDescent="0.4">
      <c r="B17" s="12"/>
      <c r="K17" s="95" t="s">
        <v>42</v>
      </c>
      <c r="L17" s="71">
        <f>+SUM(L12:L15)</f>
        <v>18.671243012759724</v>
      </c>
      <c r="N17" s="179" t="s">
        <v>131</v>
      </c>
      <c r="O17" s="178">
        <f>40000*(SUM(E12:E13))+(F15/20)*35000</f>
        <v>106220200.00000001</v>
      </c>
      <c r="P17" s="2" t="s">
        <v>54</v>
      </c>
      <c r="W17" s="13"/>
    </row>
    <row r="18" spans="2:23" ht="9" customHeight="1" thickTop="1" thickBot="1" x14ac:dyDescent="0.4">
      <c r="B18" s="17"/>
      <c r="C18" s="18"/>
      <c r="D18" s="18"/>
      <c r="E18" s="18"/>
      <c r="F18" s="18"/>
      <c r="G18" s="18"/>
      <c r="H18" s="18"/>
      <c r="I18" s="18"/>
      <c r="J18" s="18"/>
      <c r="K18" s="18"/>
      <c r="L18" s="18"/>
      <c r="M18" s="18"/>
      <c r="N18" s="18"/>
      <c r="O18" s="18"/>
      <c r="P18" s="18"/>
      <c r="Q18" s="18"/>
      <c r="R18" s="18"/>
      <c r="S18" s="18"/>
      <c r="T18" s="18"/>
      <c r="U18" s="18"/>
      <c r="V18" s="18"/>
      <c r="W18" s="19"/>
    </row>
  </sheetData>
  <mergeCells count="10">
    <mergeCell ref="C3:V3"/>
    <mergeCell ref="C8:F8"/>
    <mergeCell ref="G5:I8"/>
    <mergeCell ref="M5:V8"/>
    <mergeCell ref="M9:V9"/>
    <mergeCell ref="J5:L8"/>
    <mergeCell ref="G9:H9"/>
    <mergeCell ref="C4:F4"/>
    <mergeCell ref="G4:I4"/>
    <mergeCell ref="J4:L4"/>
  </mergeCells>
  <pageMargins left="0.7" right="0.7" top="0.75" bottom="0.75" header="0.3" footer="0.3"/>
  <pageSetup paperSize="8" scale="3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Sagsdokument" ma:contentTypeID="0x010100174C0563763D434CA2D997813A7EF73601007298F9768E4FD147B441ED94FBFCCF1D" ma:contentTypeVersion="16" ma:contentTypeDescription="" ma:contentTypeScope="" ma:versionID="54c2e7f0c1a68589395ea77bf1fdb9a4">
  <xsd:schema xmlns:xsd="http://www.w3.org/2001/XMLSchema" xmlns:xs="http://www.w3.org/2001/XMLSchema" xmlns:p="http://schemas.microsoft.com/office/2006/metadata/properties" xmlns:ns2="abbeec68-b05e-4e2e-88e5-2ac3e13fe809" xmlns:ns3="42e9fbd6-f8cd-4be3-9f43-18e05b3b0426" xmlns:ns4="d53bcd81-0329-498e-a401-a039d2d3e512" xmlns:ns5="52634fb5-2212-488a-a963-146d600f13bb" xmlns:ns6="14bfd2bb-3d4a-4549-9197-f3410a8da64b" targetNamespace="http://schemas.microsoft.com/office/2006/metadata/properties" ma:root="true" ma:fieldsID="c105f07c9c25d817d7f82fe4f444c6c7" ns2:_="" ns3:_="" ns4:_="" ns5:_="" ns6:_="">
    <xsd:import namespace="abbeec68-b05e-4e2e-88e5-2ac3e13fe809"/>
    <xsd:import namespace="42e9fbd6-f8cd-4be3-9f43-18e05b3b0426"/>
    <xsd:import namespace="d53bcd81-0329-498e-a401-a039d2d3e512"/>
    <xsd:import namespace="52634fb5-2212-488a-a963-146d600f13bb"/>
    <xsd:import namespace="14bfd2bb-3d4a-4549-9197-f3410a8da64b"/>
    <xsd:element name="properties">
      <xsd:complexType>
        <xsd:sequence>
          <xsd:element name="documentManagement">
            <xsd:complexType>
              <xsd:all>
                <xsd:element ref="ns2:wp_tag" minOccurs="0"/>
                <xsd:element ref="ns3:wp_entitynamefield" minOccurs="0"/>
                <xsd:element ref="ns4:zfmSagsID" minOccurs="0"/>
                <xsd:element ref="ns6:wpItemLocation" minOccurs="0"/>
                <xsd:element ref="ns4:zfmAXID" minOccurs="0"/>
                <xsd:element ref="ns2:wpDocumentId" minOccurs="0"/>
                <xsd:element ref="ns4:zfmDokID" minOccurs="0"/>
                <xsd:element ref="ns4:zfmTeamShareID" minOccurs="0"/>
                <xsd:element ref="ns5:TaxCatchAllLabel" minOccurs="0"/>
                <xsd:element ref="ns3:d198bb62c6154826bf2fa67adc7fc50e" minOccurs="0"/>
                <xsd:element ref="ns3:ld561184ba4c4c28bfc5de4f6934374e" minOccurs="0"/>
                <xsd:element ref="ns5:m4ad57e62968412394c6e791739a4933" minOccurs="0"/>
                <xsd:element ref="ns3:o2f8f09c1ac64d53b141e43e100ca511" minOccurs="0"/>
                <xsd:element ref="ns5:TaxCatchAll"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beec68-b05e-4e2e-88e5-2ac3e13fe809" elementFormDefault="qualified">
    <xsd:import namespace="http://schemas.microsoft.com/office/2006/documentManagement/types"/>
    <xsd:import namespace="http://schemas.microsoft.com/office/infopath/2007/PartnerControls"/>
    <xsd:element name="wp_tag" ma:index="5" nillable="true" ma:displayName="Stadie mærke" ma:default="Aktiv" ma:internalName="wp_tag" ma:readOnly="false">
      <xsd:simpleType>
        <xsd:restriction base="dms:Text"/>
      </xsd:simpleType>
    </xsd:element>
    <xsd:element name="wpDocumentId" ma:index="14" nillable="true" ma:displayName="Dokument ID" ma:description="Dette felt kan bruges som et unikt Dokument ID der sættes af WorkPoint Nummererings Service" ma:internalName="wpDocumentId"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e9fbd6-f8cd-4be3-9f43-18e05b3b0426" elementFormDefault="qualified">
    <xsd:import namespace="http://schemas.microsoft.com/office/2006/documentManagement/types"/>
    <xsd:import namespace="http://schemas.microsoft.com/office/infopath/2007/PartnerControls"/>
    <xsd:element name="wp_entitynamefield" ma:index="6" nillable="true" ma:displayName="Sag" ma:default="Nordfyns Kommune, Lokalplan 2023-4 - Bogense Kystdiger" ma:internalName="wp_entitynamefield" ma:readOnly="false">
      <xsd:simpleType>
        <xsd:restriction base="dms:Text"/>
      </xsd:simpleType>
    </xsd:element>
    <xsd:element name="d198bb62c6154826bf2fa67adc7fc50e" ma:index="19" nillable="true" ma:taxonomy="true" ma:internalName="d198bb62c6154826bf2fa67adc7fc50e" ma:taxonomyFieldName="zfmSagsemne" ma:displayName="Sagsemne" ma:indexed="true" ma:readOnly="false" ma:default="6;#Planlægning og investering|7f0f8068-70c1-4e25-9c3a-fe1d6af76e97" ma:fieldId="{d198bb62-c615-4826-bf2f-a67adc7fc50e}" ma:sspId="06de156c-40b7-4ac5-80da-f888094fc1f8" ma:termSetId="c8326254-397a-4732-b004-cf296ac629c7" ma:anchorId="52759f3a-a719-4824-91a3-c4382500a069" ma:open="false" ma:isKeyword="false">
      <xsd:complexType>
        <xsd:sequence>
          <xsd:element ref="pc:Terms" minOccurs="0" maxOccurs="1"/>
        </xsd:sequence>
      </xsd:complexType>
    </xsd:element>
    <xsd:element name="ld561184ba4c4c28bfc5de4f6934374e" ma:index="21" nillable="true" ma:taxonomy="true" ma:internalName="ld561184ba4c4c28bfc5de4f6934374e" ma:taxonomyFieldName="zfmSagstype" ma:displayName="Sagstype" ma:readOnly="false" ma:default="4;#Eksternt høringsmateriale|fe7490b9-bd11-47d5-bb42-4ae288936b22" ma:fieldId="{5d561184-ba4c-4c28-bfc5-de4f6934374e}" ma:sspId="06de156c-40b7-4ac5-80da-f888094fc1f8" ma:termSetId="d1b1ca50-317b-493a-81e3-fc047d54095e" ma:anchorId="a4bc100c-e1e7-4de5-abf5-a9d498f6cd48" ma:open="false" ma:isKeyword="false">
      <xsd:complexType>
        <xsd:sequence>
          <xsd:element ref="pc:Terms" minOccurs="0" maxOccurs="1"/>
        </xsd:sequence>
      </xsd:complexType>
    </xsd:element>
    <xsd:element name="o2f8f09c1ac64d53b141e43e100ca511" ma:index="23" nillable="true" ma:taxonomy="true" ma:internalName="o2f8f09c1ac64d53b141e43e100ca511" ma:taxonomyFieldName="zfmVCSWPomraade" ma:displayName="Sagsområde" ma:readOnly="false" ma:default="3;#Sager|349375a9-7ed2-403d-9755-cd0b8cf156cf" ma:fieldId="{82f8f09c-1ac6-4d53-b141-e43e100ca511}" ma:sspId="06de156c-40b7-4ac5-80da-f888094fc1f8" ma:termSetId="6365a2ce-d111-4eb1-9e2f-0ad79d8cf97f" ma:anchorId="eff69059-8e6d-4840-be05-ab5da3bdbf88" ma:open="false" ma:isKeyword="false">
      <xsd:complexType>
        <xsd:sequence>
          <xsd:element ref="pc:Terms" minOccurs="0" maxOccurs="1"/>
        </xsd:sequence>
      </xsd:complex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3bcd81-0329-498e-a401-a039d2d3e512" elementFormDefault="qualified">
    <xsd:import namespace="http://schemas.microsoft.com/office/2006/documentManagement/types"/>
    <xsd:import namespace="http://schemas.microsoft.com/office/infopath/2007/PartnerControls"/>
    <xsd:element name="zfmSagsID" ma:index="7" nillable="true" ma:displayName="Sags ID" ma:default="2023-00479" ma:internalName="zfmSagsID" ma:readOnly="false">
      <xsd:simpleType>
        <xsd:restriction base="dms:Text">
          <xsd:maxLength value="255"/>
        </xsd:restriction>
      </xsd:simpleType>
    </xsd:element>
    <xsd:element name="zfmAXID" ma:index="12" nillable="true" ma:displayName="AX projektID" ma:default="" ma:internalName="zfmAXID" ma:readOnly="false">
      <xsd:simpleType>
        <xsd:restriction base="dms:Text">
          <xsd:maxLength value="255"/>
        </xsd:restriction>
      </xsd:simpleType>
    </xsd:element>
    <xsd:element name="zfmDokID" ma:index="15" nillable="true" ma:displayName="Dokument-ID" ma:hidden="true" ma:internalName="zfmDokID" ma:readOnly="false">
      <xsd:simpleType>
        <xsd:restriction base="dms:Text">
          <xsd:maxLength value="255"/>
        </xsd:restriction>
      </xsd:simpleType>
    </xsd:element>
    <xsd:element name="zfmTeamShareID" ma:index="16" nillable="true" ma:displayName="TeamShare ID" ma:default="" ma:indexed="true" ma:internalName="zfmTeamShare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2634fb5-2212-488a-a963-146d600f13bb" elementFormDefault="qualified">
    <xsd:import namespace="http://schemas.microsoft.com/office/2006/documentManagement/types"/>
    <xsd:import namespace="http://schemas.microsoft.com/office/infopath/2007/PartnerControls"/>
    <xsd:element name="TaxCatchAllLabel" ma:index="17" nillable="true" ma:displayName="Taxonomy Catch All Column1" ma:hidden="true" ma:list="{3657a50a-f6d9-43d4-a471-ffc615a0d7d3}" ma:internalName="TaxCatchAllLabel" ma:readOnly="true" ma:showField="CatchAllDataLabel" ma:web="52634fb5-2212-488a-a963-146d600f13bb">
      <xsd:complexType>
        <xsd:complexContent>
          <xsd:extension base="dms:MultiChoiceLookup">
            <xsd:sequence>
              <xsd:element name="Value" type="dms:Lookup" maxOccurs="unbounded" minOccurs="0" nillable="true"/>
            </xsd:sequence>
          </xsd:extension>
        </xsd:complexContent>
      </xsd:complexType>
    </xsd:element>
    <xsd:element name="m4ad57e62968412394c6e791739a4933" ma:index="22" nillable="true" ma:taxonomy="true" ma:internalName="m4ad57e62968412394c6e791739a4933" ma:taxonomyFieldName="zfmSagsdoktype" ma:displayName="Dokumenttype" ma:readOnly="false" ma:default="" ma:fieldId="{64ad57e6-2968-4123-94c6-e791739a4933}" ma:sspId="06de156c-40b7-4ac5-80da-f888094fc1f8" ma:termSetId="02514ae6-50b9-4410-a1b8-31ddc96748ba" ma:anchorId="b84646e5-64ba-4774-bb42-98624a509291" ma:open="false" ma:isKeyword="false">
      <xsd:complexType>
        <xsd:sequence>
          <xsd:element ref="pc:Terms" minOccurs="0" maxOccurs="1"/>
        </xsd:sequence>
      </xsd:complexType>
    </xsd:element>
    <xsd:element name="TaxCatchAll" ma:index="24" nillable="true" ma:displayName="Taxonomy Catch All Column" ma:hidden="true" ma:list="{3657a50a-f6d9-43d4-a471-ffc615a0d7d3}" ma:internalName="TaxCatchAll" ma:showField="CatchAllData" ma:web="52634fb5-2212-488a-a963-146d600f13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4bfd2bb-3d4a-4549-9197-f3410a8da64b" elementFormDefault="qualified">
    <xsd:import namespace="http://schemas.microsoft.com/office/2006/documentManagement/types"/>
    <xsd:import namespace="http://schemas.microsoft.com/office/infopath/2007/PartnerControls"/>
    <xsd:element name="wpItemLocation" ma:index="11" nillable="true" ma:displayName="wpItemLocation" ma:default="39d363d0c8b14ed295d4e277874e9862;93a9305cfd33405a81d74f825feab362;19470;" ma:internalName="wpItem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3"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2f8f09c1ac64d53b141e43e100ca511 xmlns="42e9fbd6-f8cd-4be3-9f43-18e05b3b0426">
      <Terms xmlns="http://schemas.microsoft.com/office/infopath/2007/PartnerControls">
        <TermInfo xmlns="http://schemas.microsoft.com/office/infopath/2007/PartnerControls">
          <TermName xmlns="http://schemas.microsoft.com/office/infopath/2007/PartnerControls">Sager</TermName>
          <TermId xmlns="http://schemas.microsoft.com/office/infopath/2007/PartnerControls">349375a9-7ed2-403d-9755-cd0b8cf156cf</TermId>
        </TermInfo>
      </Terms>
    </o2f8f09c1ac64d53b141e43e100ca511>
    <zfmDokID xmlns="d53bcd81-0329-498e-a401-a039d2d3e512">Dok-25-016803</zfmDokID>
    <wp_tag xmlns="abbeec68-b05e-4e2e-88e5-2ac3e13fe809">Aktiv</wp_tag>
    <wp_entitynamefield xmlns="42e9fbd6-f8cd-4be3-9f43-18e05b3b0426">Nordfyns Kommune, Lokalplan 2023-4 - Bogense Kystdiger</wp_entitynamefield>
    <zfmSagsID xmlns="d53bcd81-0329-498e-a401-a039d2d3e512">2023-00479</zfmSagsID>
    <d198bb62c6154826bf2fa67adc7fc50e xmlns="42e9fbd6-f8cd-4be3-9f43-18e05b3b0426">
      <Terms xmlns="http://schemas.microsoft.com/office/infopath/2007/PartnerControls">
        <TermInfo xmlns="http://schemas.microsoft.com/office/infopath/2007/PartnerControls">
          <TermName xmlns="http://schemas.microsoft.com/office/infopath/2007/PartnerControls">Planlægning og investering</TermName>
          <TermId xmlns="http://schemas.microsoft.com/office/infopath/2007/PartnerControls">7f0f8068-70c1-4e25-9c3a-fe1d6af76e97</TermId>
        </TermInfo>
      </Terms>
    </d198bb62c6154826bf2fa67adc7fc50e>
    <wpDocumentId xmlns="abbeec68-b05e-4e2e-88e5-2ac3e13fe809" xsi:nil="true"/>
    <ld561184ba4c4c28bfc5de4f6934374e xmlns="42e9fbd6-f8cd-4be3-9f43-18e05b3b0426">
      <Terms xmlns="http://schemas.microsoft.com/office/infopath/2007/PartnerControls">
        <TermInfo xmlns="http://schemas.microsoft.com/office/infopath/2007/PartnerControls">
          <TermName xmlns="http://schemas.microsoft.com/office/infopath/2007/PartnerControls">Eksternt høringsmateriale</TermName>
          <TermId xmlns="http://schemas.microsoft.com/office/infopath/2007/PartnerControls">fe7490b9-bd11-47d5-bb42-4ae288936b22</TermId>
        </TermInfo>
      </Terms>
    </ld561184ba4c4c28bfc5de4f6934374e>
    <TaxCatchAll xmlns="52634fb5-2212-488a-a963-146d600f13bb">
      <Value>6</Value>
      <Value>4</Value>
      <Value>3</Value>
    </TaxCatchAll>
    <zfmAXID xmlns="d53bcd81-0329-498e-a401-a039d2d3e512" xsi:nil="true"/>
    <m4ad57e62968412394c6e791739a4933 xmlns="52634fb5-2212-488a-a963-146d600f13bb">
      <Terms xmlns="http://schemas.microsoft.com/office/infopath/2007/PartnerControls"/>
    </m4ad57e62968412394c6e791739a4933>
    <zfmTeamShareID xmlns="d53bcd81-0329-498e-a401-a039d2d3e512" xsi:nil="true"/>
    <wpItemLocation xmlns="14bfd2bb-3d4a-4549-9197-f3410a8da64b">39d363d0c8b14ed295d4e277874e9862;93a9305cfd33405a81d74f825feab362;19470;</wpItemLocation>
  </documentManagement>
</p:properties>
</file>

<file path=customXml/itemProps1.xml><?xml version="1.0" encoding="utf-8"?>
<ds:datastoreItem xmlns:ds="http://schemas.openxmlformats.org/officeDocument/2006/customXml" ds:itemID="{B6C83544-1FCB-4386-8ACA-3FF241E3FA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beec68-b05e-4e2e-88e5-2ac3e13fe809"/>
    <ds:schemaRef ds:uri="42e9fbd6-f8cd-4be3-9f43-18e05b3b0426"/>
    <ds:schemaRef ds:uri="d53bcd81-0329-498e-a401-a039d2d3e512"/>
    <ds:schemaRef ds:uri="52634fb5-2212-488a-a963-146d600f13bb"/>
    <ds:schemaRef ds:uri="14bfd2bb-3d4a-4549-9197-f3410a8da6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D5219B-F050-43A7-9A09-99032664448D}">
  <ds:schemaRefs>
    <ds:schemaRef ds:uri="http://schemas.microsoft.com/sharepoint/v3/contenttype/forms"/>
  </ds:schemaRefs>
</ds:datastoreItem>
</file>

<file path=customXml/itemProps3.xml><?xml version="1.0" encoding="utf-8"?>
<ds:datastoreItem xmlns:ds="http://schemas.openxmlformats.org/officeDocument/2006/customXml" ds:itemID="{172E711F-85FA-4A54-8AD2-6D546EDCDE54}">
  <ds:schemaRefs>
    <ds:schemaRef ds:uri="http://schemas.microsoft.com/office/2006/metadata/properties"/>
    <ds:schemaRef ds:uri="http://schemas.microsoft.com/office/infopath/2007/PartnerControls"/>
    <ds:schemaRef ds:uri="42e9fbd6-f8cd-4be3-9f43-18e05b3b0426"/>
    <ds:schemaRef ds:uri="d53bcd81-0329-498e-a401-a039d2d3e512"/>
    <ds:schemaRef ds:uri="abbeec68-b05e-4e2e-88e5-2ac3e13fe809"/>
    <ds:schemaRef ds:uri="52634fb5-2212-488a-a963-146d600f13bb"/>
    <ds:schemaRef ds:uri="14bfd2bb-3d4a-4549-9197-f3410a8da64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40</vt:i4>
      </vt:variant>
      <vt:variant>
        <vt:lpstr>Navngivne områder</vt:lpstr>
      </vt:variant>
      <vt:variant>
        <vt:i4>6</vt:i4>
      </vt:variant>
    </vt:vector>
  </HeadingPairs>
  <TitlesOfParts>
    <vt:vector size="46" baseType="lpstr">
      <vt:lpstr>Overs</vt:lpstr>
      <vt:lpstr>Beregning og partsberegning</vt:lpstr>
      <vt:lpstr>1</vt:lpstr>
      <vt:lpstr>1 ø</vt:lpstr>
      <vt:lpstr>1e_str3</vt:lpstr>
      <vt:lpstr>1ie_str3</vt:lpstr>
      <vt:lpstr>2</vt:lpstr>
      <vt:lpstr>2ø</vt:lpstr>
      <vt:lpstr>3</vt:lpstr>
      <vt:lpstr>3ø</vt:lpstr>
      <vt:lpstr>3e_str3 </vt:lpstr>
      <vt:lpstr>3ie_str3</vt:lpstr>
      <vt:lpstr>4</vt:lpstr>
      <vt:lpstr>4ø</vt:lpstr>
      <vt:lpstr>5 </vt:lpstr>
      <vt:lpstr>6</vt:lpstr>
      <vt:lpstr>6ø</vt:lpstr>
      <vt:lpstr>7</vt:lpstr>
      <vt:lpstr>8</vt:lpstr>
      <vt:lpstr>8ø</vt:lpstr>
      <vt:lpstr>9</vt:lpstr>
      <vt:lpstr>10</vt:lpstr>
      <vt:lpstr>10ø</vt:lpstr>
      <vt:lpstr>10ie_str3</vt:lpstr>
      <vt:lpstr>11</vt:lpstr>
      <vt:lpstr>11ø</vt:lpstr>
      <vt:lpstr>12</vt:lpstr>
      <vt:lpstr>12ø</vt:lpstr>
      <vt:lpstr>13</vt:lpstr>
      <vt:lpstr>13ø</vt:lpstr>
      <vt:lpstr>13e_str3</vt:lpstr>
      <vt:lpstr>13ie_str3</vt:lpstr>
      <vt:lpstr>14</vt:lpstr>
      <vt:lpstr>14ø</vt:lpstr>
      <vt:lpstr>14e_str3</vt:lpstr>
      <vt:lpstr>14ie_str3</vt:lpstr>
      <vt:lpstr>15</vt:lpstr>
      <vt:lpstr>15ø</vt:lpstr>
      <vt:lpstr>15e_str3</vt:lpstr>
      <vt:lpstr>15ie_str3</vt:lpstr>
      <vt:lpstr>'1'!Udskriftsområde</vt:lpstr>
      <vt:lpstr>'13e_str3'!Udskriftsområde</vt:lpstr>
      <vt:lpstr>'14e_str3'!Udskriftsområde</vt:lpstr>
      <vt:lpstr>'15e_str3'!Udskriftsområde</vt:lpstr>
      <vt:lpstr>'1e_str3'!Udskriftsområde</vt:lpstr>
      <vt:lpstr>'3e_str3 '!Udskriftsområde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Stine Hjære Hansen</dc:creator>
  <cp:keywords/>
  <dc:description/>
  <cp:lastModifiedBy>Stine Hjære Hansen</cp:lastModifiedBy>
  <cp:revision/>
  <cp:lastPrinted>2026-02-10T07:49:14Z</cp:lastPrinted>
  <dcterms:created xsi:type="dcterms:W3CDTF">2025-05-06T10:49:23Z</dcterms:created>
  <dcterms:modified xsi:type="dcterms:W3CDTF">2026-02-20T10:30:59Z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0x010100174C0563763D434CA2D997813A7EF73601007298F9768E4FD147B441ED94FBFCCF1D</vt:lpwstr>
  </property>
  <property fmtid="{D5CDD505-2E9C-101B-9397-08002B2CF9AE}" pid="3" name="zfmVCSWPomraade">
    <vt:lpwstr>3;#Sager|349375a9-7ed2-403d-9755-cd0b8cf156cf</vt:lpwstr>
  </property>
  <property fmtid="{D5CDD505-2E9C-101B-9397-08002B2CF9AE}" pid="4" name="f1a2c7be0b3c4c3d911172acfc9d00aa">
    <vt:lpwstr/>
  </property>
  <property fmtid="{D5CDD505-2E9C-101B-9397-08002B2CF9AE}" pid="5" name="zfmDokGDPRKlas">
    <vt:lpwstr/>
  </property>
  <property fmtid="{D5CDD505-2E9C-101B-9397-08002B2CF9AE}" pid="6" name="zfmSagstype">
    <vt:lpwstr>4;#Eksternt høringsmateriale|fe7490b9-bd11-47d5-bb42-4ae288936b22</vt:lpwstr>
  </property>
  <property fmtid="{D5CDD505-2E9C-101B-9397-08002B2CF9AE}" pid="7" name="zfmSagsemne">
    <vt:lpwstr>6;#Planlægning og investering|7f0f8068-70c1-4e25-9c3a-fe1d6af76e97</vt:lpwstr>
  </property>
  <property fmtid="{D5CDD505-2E9C-101B-9397-08002B2CF9AE}" pid="8" name="zfmSagsdoktype">
    <vt:lpwstr/>
  </property>
</Properties>
</file>